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codeName="{4D1C537B-E38A-612A-F078-A93A15B4B7F4}"/>
  <workbookPr updateLinks="never" codeName="ThisWorkbook"/>
  <mc:AlternateContent xmlns:mc="http://schemas.openxmlformats.org/markup-compatibility/2006">
    <mc:Choice Requires="x15">
      <x15ac:absPath xmlns:x15ac="http://schemas.microsoft.com/office/spreadsheetml/2010/11/ac" url="/Users/chris/Downloads/Servicing Calcs/Updates/"/>
    </mc:Choice>
  </mc:AlternateContent>
  <xr:revisionPtr revIDLastSave="0" documentId="13_ncr:1_{A4645AB9-4E08-0F40-8190-9A816B68D8A0}" xr6:coauthVersionLast="47" xr6:coauthVersionMax="47" xr10:uidLastSave="{00000000-0000-0000-0000-000000000000}"/>
  <workbookProtection workbookAlgorithmName="SHA-512" workbookHashValue="4InzTpZIAW2QXcBPSoZFavACZpzOt0lR0XQJCOngqBNv6+SH2q8COTZ1fLPVRQnoK/C19uZW8LbRJbE1iJyvVw==" workbookSaltValue="kx5Mx+yoxjhIXpW/YL6EFA==" workbookSpinCount="100000" lockStructure="1"/>
  <bookViews>
    <workbookView xWindow="0" yWindow="500" windowWidth="23260" windowHeight="12580" xr2:uid="{00000000-000D-0000-FFFF-FFFF00000000}"/>
  </bookViews>
  <sheets>
    <sheet name="Input" sheetId="1" r:id="rId1"/>
    <sheet name="Income Calculators" sheetId="6" r:id="rId2"/>
    <sheet name="Version Control" sheetId="13" state="veryHidden" r:id="rId3"/>
    <sheet name="Loan Feature Input" sheetId="10" state="veryHidden" r:id="rId4"/>
    <sheet name="Results Page" sheetId="9" state="veryHidden" r:id="rId5"/>
    <sheet name="Loan Works Drop" sheetId="11" state="veryHidden" r:id="rId6"/>
    <sheet name="Calculations" sheetId="2" state="veryHidden" r:id="rId7"/>
    <sheet name="Formulas" sheetId="12" state="veryHidden" r:id="rId8"/>
    <sheet name="Console" sheetId="4" state="veryHidden" r:id="rId9"/>
    <sheet name="HEM" sheetId="7" state="veryHidden" r:id="rId10"/>
    <sheet name="Subordinate Calculator" sheetId="8" state="veryHidden" r:id="rId11"/>
  </sheets>
  <externalReferences>
    <externalReference r:id="rId12"/>
  </externalReferences>
  <definedNames>
    <definedName name="_xlnm.Print_Area" localSheetId="0">Input!$B$1:$T$160</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8" i="1" l="1"/>
  <c r="R108" i="1"/>
  <c r="R109" i="1"/>
  <c r="R110" i="1"/>
  <c r="R111" i="1"/>
  <c r="R112" i="1"/>
  <c r="R113" i="1"/>
  <c r="R114" i="1"/>
  <c r="R115" i="1"/>
  <c r="R116" i="1"/>
  <c r="R117" i="1"/>
  <c r="R118" i="1"/>
  <c r="R119" i="1"/>
  <c r="R120" i="1"/>
  <c r="R121" i="1"/>
  <c r="R122" i="1"/>
  <c r="R123" i="1"/>
  <c r="R124" i="1"/>
  <c r="R125" i="1"/>
  <c r="R126" i="1"/>
  <c r="R127" i="1"/>
  <c r="R128" i="1"/>
  <c r="R129" i="1"/>
  <c r="R130" i="1"/>
  <c r="R131" i="1"/>
  <c r="R107" i="1"/>
  <c r="M40" i="12" l="1"/>
  <c r="L40" i="12"/>
  <c r="K40" i="12"/>
  <c r="J40" i="12"/>
  <c r="C41" i="12" l="1"/>
  <c r="C42" i="12"/>
  <c r="C43" i="12"/>
  <c r="C44" i="12"/>
  <c r="C45" i="12"/>
  <c r="C46" i="12"/>
  <c r="C40" i="12"/>
  <c r="AC5" i="4" l="1"/>
  <c r="AC6" i="4"/>
  <c r="AC7" i="4"/>
  <c r="AC4" i="4"/>
  <c r="I89" i="12" l="1"/>
  <c r="I88" i="12" s="1"/>
  <c r="J89" i="12"/>
  <c r="K89" i="12"/>
  <c r="K88" i="12" s="1"/>
  <c r="L89" i="12"/>
  <c r="H89" i="12"/>
  <c r="H88" i="12" s="1"/>
  <c r="N80" i="1"/>
  <c r="M80" i="1"/>
  <c r="L80" i="1"/>
  <c r="K80" i="1"/>
  <c r="J80" i="1"/>
  <c r="I80" i="1"/>
  <c r="H80" i="1"/>
  <c r="J88" i="12" l="1"/>
  <c r="L88" i="12"/>
  <c r="R18" i="1"/>
  <c r="R19" i="1"/>
  <c r="N47" i="12" l="1"/>
  <c r="M47" i="12"/>
  <c r="M49" i="12" s="1"/>
  <c r="L47" i="12"/>
  <c r="K47" i="12"/>
  <c r="J47" i="12"/>
  <c r="N49" i="12" l="1"/>
  <c r="L49" i="12"/>
  <c r="K49" i="12"/>
  <c r="J49" i="12"/>
  <c r="R26" i="6" l="1"/>
  <c r="R25" i="6"/>
  <c r="L63" i="1" s="1"/>
  <c r="I40" i="12" s="1"/>
  <c r="P26" i="6"/>
  <c r="P25" i="6"/>
  <c r="J63" i="1" s="1"/>
  <c r="H40" i="12" s="1"/>
  <c r="N26" i="6"/>
  <c r="N25" i="6"/>
  <c r="H63" i="1" s="1"/>
  <c r="G40" i="12" s="1"/>
  <c r="L25" i="6"/>
  <c r="J25" i="6"/>
  <c r="J26" i="6" l="1"/>
  <c r="D63" i="1"/>
  <c r="E40" i="12" s="1"/>
  <c r="L26" i="6"/>
  <c r="F63" i="1"/>
  <c r="F40" i="12" s="1"/>
  <c r="E72" i="1"/>
  <c r="G72" i="1"/>
  <c r="I72" i="1"/>
  <c r="K72" i="1"/>
  <c r="M72" i="1"/>
  <c r="O72" i="1"/>
  <c r="Q72" i="1"/>
  <c r="S72" i="1"/>
  <c r="U72" i="1"/>
  <c r="W72" i="1"/>
  <c r="E73" i="1"/>
  <c r="G73" i="1"/>
  <c r="I73" i="1"/>
  <c r="K73" i="1"/>
  <c r="M73" i="1"/>
  <c r="O73" i="1"/>
  <c r="Q73" i="1"/>
  <c r="S73" i="1"/>
  <c r="U73" i="1"/>
  <c r="W73" i="1"/>
  <c r="E74" i="1"/>
  <c r="G74" i="1"/>
  <c r="I74" i="1"/>
  <c r="K74" i="1"/>
  <c r="M74" i="1"/>
  <c r="O74" i="1"/>
  <c r="Q74" i="1"/>
  <c r="S74" i="1"/>
  <c r="U74" i="1"/>
  <c r="W74" i="1"/>
  <c r="E75" i="1"/>
  <c r="G75" i="1"/>
  <c r="I75" i="1"/>
  <c r="K75" i="1"/>
  <c r="M75" i="1"/>
  <c r="O75" i="1"/>
  <c r="Q75" i="1"/>
  <c r="S75" i="1"/>
  <c r="U75" i="1"/>
  <c r="W75" i="1"/>
  <c r="F34" i="12"/>
  <c r="G34" i="12"/>
  <c r="H34" i="12"/>
  <c r="I34" i="12"/>
  <c r="J34" i="12"/>
  <c r="K34" i="12"/>
  <c r="L34" i="12"/>
  <c r="M34" i="12"/>
  <c r="N34" i="12"/>
  <c r="O34" i="12"/>
  <c r="P34" i="12"/>
  <c r="Q34" i="12"/>
  <c r="R34" i="12"/>
  <c r="S34" i="12"/>
  <c r="T34" i="12"/>
  <c r="U34" i="12"/>
  <c r="V34" i="12"/>
  <c r="W34" i="12"/>
  <c r="X34" i="12"/>
  <c r="E34"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C102" i="12"/>
  <c r="H102" i="12" s="1"/>
  <c r="C103" i="12"/>
  <c r="C104" i="12"/>
  <c r="H104" i="12" s="1"/>
  <c r="C105" i="12"/>
  <c r="H105" i="12" s="1"/>
  <c r="C106" i="12"/>
  <c r="H106" i="12" s="1"/>
  <c r="C107" i="12"/>
  <c r="H107" i="12" s="1"/>
  <c r="C108" i="12"/>
  <c r="H108" i="12" s="1"/>
  <c r="C109" i="12"/>
  <c r="H109" i="12" s="1"/>
  <c r="C110" i="12"/>
  <c r="H110" i="12" s="1"/>
  <c r="C111" i="12"/>
  <c r="H111" i="12" s="1"/>
  <c r="C112" i="12"/>
  <c r="C113" i="12"/>
  <c r="H113" i="12" s="1"/>
  <c r="C114" i="12"/>
  <c r="H114" i="12" s="1"/>
  <c r="C115" i="12"/>
  <c r="C116" i="12"/>
  <c r="H116" i="12" s="1"/>
  <c r="C117" i="12"/>
  <c r="H117" i="12" s="1"/>
  <c r="C118" i="12"/>
  <c r="H118" i="12" s="1"/>
  <c r="C119" i="12"/>
  <c r="C120" i="12"/>
  <c r="H120" i="12" s="1"/>
  <c r="C121" i="12"/>
  <c r="H121" i="12" s="1"/>
  <c r="C122" i="12"/>
  <c r="H122" i="12" s="1"/>
  <c r="C123" i="12"/>
  <c r="H123" i="12" s="1"/>
  <c r="C124" i="12"/>
  <c r="H124" i="12" s="1"/>
  <c r="C125" i="12"/>
  <c r="H125" i="12" s="1"/>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I102" i="12"/>
  <c r="I103" i="12"/>
  <c r="P103" i="12" s="1"/>
  <c r="I104" i="12"/>
  <c r="I105" i="12"/>
  <c r="I106" i="12"/>
  <c r="I107" i="12"/>
  <c r="I108" i="12"/>
  <c r="I109" i="12"/>
  <c r="I110" i="12"/>
  <c r="I111" i="12"/>
  <c r="I112" i="12"/>
  <c r="I113" i="12"/>
  <c r="I114" i="12"/>
  <c r="I115" i="12"/>
  <c r="P115" i="12" s="1"/>
  <c r="I116" i="12"/>
  <c r="I117" i="12"/>
  <c r="I118" i="12"/>
  <c r="I119" i="12"/>
  <c r="I120" i="12"/>
  <c r="I121" i="12"/>
  <c r="I122" i="12"/>
  <c r="I123" i="12"/>
  <c r="I124" i="12"/>
  <c r="I125" i="12"/>
  <c r="J101" i="12"/>
  <c r="I101" i="12"/>
  <c r="E102" i="12"/>
  <c r="F102" i="12"/>
  <c r="G102" i="12"/>
  <c r="E103" i="12"/>
  <c r="F103" i="12"/>
  <c r="G103" i="12"/>
  <c r="E104" i="12"/>
  <c r="F104" i="12"/>
  <c r="G104" i="12"/>
  <c r="E105" i="12"/>
  <c r="F105" i="12"/>
  <c r="G105" i="12"/>
  <c r="E106" i="12"/>
  <c r="F106" i="12"/>
  <c r="G106" i="12"/>
  <c r="E107" i="12"/>
  <c r="F107" i="12"/>
  <c r="G107" i="12"/>
  <c r="E108" i="12"/>
  <c r="F108" i="12"/>
  <c r="G108" i="12"/>
  <c r="E109" i="12"/>
  <c r="F109" i="12"/>
  <c r="G109" i="12"/>
  <c r="E110" i="12"/>
  <c r="F110" i="12"/>
  <c r="G110" i="12"/>
  <c r="E111" i="12"/>
  <c r="F111" i="12"/>
  <c r="G111" i="12"/>
  <c r="E112" i="12"/>
  <c r="F112" i="12"/>
  <c r="G112" i="12"/>
  <c r="E113" i="12"/>
  <c r="F113" i="12"/>
  <c r="G113" i="12"/>
  <c r="E114" i="12"/>
  <c r="F114" i="12"/>
  <c r="G114" i="12"/>
  <c r="E115" i="12"/>
  <c r="F115" i="12"/>
  <c r="G115" i="12"/>
  <c r="E116" i="12"/>
  <c r="F116" i="12"/>
  <c r="G116" i="12"/>
  <c r="E117" i="12"/>
  <c r="F117" i="12"/>
  <c r="G117" i="12"/>
  <c r="E118" i="12"/>
  <c r="F118" i="12"/>
  <c r="G118" i="12"/>
  <c r="E119" i="12"/>
  <c r="F119" i="12"/>
  <c r="G119" i="12"/>
  <c r="E120" i="12"/>
  <c r="F120" i="12"/>
  <c r="G120" i="12"/>
  <c r="E121" i="12"/>
  <c r="F121" i="12"/>
  <c r="G121" i="12"/>
  <c r="E122" i="12"/>
  <c r="F122" i="12"/>
  <c r="G122" i="12"/>
  <c r="E123" i="12"/>
  <c r="F123" i="12"/>
  <c r="G123" i="12"/>
  <c r="E124" i="12"/>
  <c r="F124" i="12"/>
  <c r="G124" i="12"/>
  <c r="E125" i="12"/>
  <c r="F125" i="12"/>
  <c r="G125" i="12"/>
  <c r="G101" i="12"/>
  <c r="F101" i="12"/>
  <c r="E101" i="12"/>
  <c r="D101" i="12"/>
  <c r="C101" i="12"/>
  <c r="H101" i="12" s="1"/>
  <c r="P12" i="1"/>
  <c r="R17" i="1" s="1"/>
  <c r="D20" i="1"/>
  <c r="F20" i="1"/>
  <c r="B84" i="12"/>
  <c r="R9" i="2"/>
  <c r="N72" i="1"/>
  <c r="P72" i="1"/>
  <c r="R72" i="1"/>
  <c r="T72" i="1"/>
  <c r="V72" i="1"/>
  <c r="O49" i="12"/>
  <c r="X72" i="1" s="1"/>
  <c r="P49" i="12"/>
  <c r="Y72" i="1" s="1"/>
  <c r="Q49" i="12"/>
  <c r="Z72" i="1" s="1"/>
  <c r="R49" i="12"/>
  <c r="AA72" i="1" s="1"/>
  <c r="S49" i="12"/>
  <c r="AB72" i="1" s="1"/>
  <c r="T49" i="12"/>
  <c r="AC72" i="1" s="1"/>
  <c r="U49" i="12"/>
  <c r="AD72" i="1" s="1"/>
  <c r="V49" i="12"/>
  <c r="AE72" i="1" s="1"/>
  <c r="W49" i="12"/>
  <c r="AF72" i="1" s="1"/>
  <c r="X49" i="12"/>
  <c r="AG72" i="1" s="1"/>
  <c r="X3" i="12"/>
  <c r="W3" i="12"/>
  <c r="V3" i="12"/>
  <c r="U3" i="12"/>
  <c r="T3" i="12"/>
  <c r="S3" i="12"/>
  <c r="R3" i="12"/>
  <c r="Q3" i="12"/>
  <c r="P3" i="12"/>
  <c r="O3" i="12"/>
  <c r="N3" i="12"/>
  <c r="M3" i="12"/>
  <c r="L3" i="12"/>
  <c r="K3" i="12"/>
  <c r="J3" i="12"/>
  <c r="I3" i="12"/>
  <c r="H3" i="12"/>
  <c r="G3" i="12"/>
  <c r="F3" i="12"/>
  <c r="E3" i="12"/>
  <c r="E6" i="12"/>
  <c r="F6" i="12"/>
  <c r="G6" i="12"/>
  <c r="H6" i="12"/>
  <c r="I6" i="12"/>
  <c r="J6" i="12"/>
  <c r="K6" i="12"/>
  <c r="L6" i="12"/>
  <c r="M6" i="12"/>
  <c r="N6" i="12"/>
  <c r="O6" i="12"/>
  <c r="P6" i="12"/>
  <c r="Q6" i="12"/>
  <c r="R6" i="12"/>
  <c r="S6" i="12"/>
  <c r="T6" i="12"/>
  <c r="U6" i="12"/>
  <c r="V6" i="12"/>
  <c r="W6" i="12"/>
  <c r="X6" i="12"/>
  <c r="E7" i="12"/>
  <c r="F7" i="12"/>
  <c r="G7" i="12"/>
  <c r="H7" i="12"/>
  <c r="I7" i="12"/>
  <c r="J7" i="12"/>
  <c r="K7" i="12"/>
  <c r="L7" i="12"/>
  <c r="M7" i="12"/>
  <c r="N7" i="12"/>
  <c r="O7" i="12"/>
  <c r="P7" i="12"/>
  <c r="Q7" i="12"/>
  <c r="R7" i="12"/>
  <c r="S7" i="12"/>
  <c r="T7" i="12"/>
  <c r="U7" i="12"/>
  <c r="V7" i="12"/>
  <c r="W7" i="12"/>
  <c r="X7" i="12"/>
  <c r="E8" i="12"/>
  <c r="F8" i="12"/>
  <c r="G8" i="12"/>
  <c r="H8" i="12"/>
  <c r="I8" i="12"/>
  <c r="J8" i="12"/>
  <c r="K8" i="12"/>
  <c r="L8" i="12"/>
  <c r="M8" i="12"/>
  <c r="N8" i="12"/>
  <c r="O8" i="12"/>
  <c r="P8" i="12"/>
  <c r="Q8" i="12"/>
  <c r="R8" i="12"/>
  <c r="S8" i="12"/>
  <c r="T8" i="12"/>
  <c r="U8" i="12"/>
  <c r="V8" i="12"/>
  <c r="W8" i="12"/>
  <c r="X8" i="12"/>
  <c r="E9" i="12"/>
  <c r="F9" i="12"/>
  <c r="G9" i="12"/>
  <c r="H9" i="12"/>
  <c r="I9" i="12"/>
  <c r="J9" i="12"/>
  <c r="K9" i="12"/>
  <c r="L9" i="12"/>
  <c r="M9" i="12"/>
  <c r="N9" i="12"/>
  <c r="O9" i="12"/>
  <c r="P9" i="12"/>
  <c r="Q9" i="12"/>
  <c r="R9" i="12"/>
  <c r="S9" i="12"/>
  <c r="T9" i="12"/>
  <c r="U9" i="12"/>
  <c r="V9" i="12"/>
  <c r="W9" i="12"/>
  <c r="X9" i="12"/>
  <c r="E10" i="12"/>
  <c r="F10" i="12"/>
  <c r="G10" i="12"/>
  <c r="H10" i="12"/>
  <c r="I10" i="12"/>
  <c r="J10" i="12"/>
  <c r="K10" i="12"/>
  <c r="L10" i="12"/>
  <c r="M10" i="12"/>
  <c r="N10" i="12"/>
  <c r="O10" i="12"/>
  <c r="P10" i="12"/>
  <c r="Q10" i="12"/>
  <c r="R10" i="12"/>
  <c r="S10" i="12"/>
  <c r="T10" i="12"/>
  <c r="U10" i="12"/>
  <c r="V10" i="12"/>
  <c r="W10" i="12"/>
  <c r="X10" i="12"/>
  <c r="E13" i="12"/>
  <c r="F13" i="12"/>
  <c r="G13" i="12"/>
  <c r="H13" i="12"/>
  <c r="I13" i="12"/>
  <c r="J13" i="12"/>
  <c r="K13" i="12"/>
  <c r="L13" i="12"/>
  <c r="M13" i="12"/>
  <c r="N13" i="12"/>
  <c r="O13" i="12"/>
  <c r="P13" i="12"/>
  <c r="Q13" i="12"/>
  <c r="R13" i="12"/>
  <c r="S13" i="12"/>
  <c r="T13" i="12"/>
  <c r="U13" i="12"/>
  <c r="V13" i="12"/>
  <c r="W13" i="12"/>
  <c r="X13" i="12"/>
  <c r="E14" i="12"/>
  <c r="F14" i="12"/>
  <c r="G14" i="12"/>
  <c r="H14" i="12"/>
  <c r="I14" i="12"/>
  <c r="J14" i="12"/>
  <c r="K14" i="12"/>
  <c r="L14" i="12"/>
  <c r="M14" i="12"/>
  <c r="N14" i="12"/>
  <c r="O14" i="12"/>
  <c r="P14" i="12"/>
  <c r="Q14" i="12"/>
  <c r="R14" i="12"/>
  <c r="S14" i="12"/>
  <c r="T14" i="12"/>
  <c r="U14" i="12"/>
  <c r="V14" i="12"/>
  <c r="W14" i="12"/>
  <c r="X14" i="12"/>
  <c r="E15" i="12"/>
  <c r="F15" i="12"/>
  <c r="G15" i="12"/>
  <c r="H15" i="12"/>
  <c r="I15" i="12"/>
  <c r="J15" i="12"/>
  <c r="K15" i="12"/>
  <c r="L15" i="12"/>
  <c r="M15" i="12"/>
  <c r="N15" i="12"/>
  <c r="O15" i="12"/>
  <c r="P15" i="12"/>
  <c r="Q15" i="12"/>
  <c r="R15" i="12"/>
  <c r="S15" i="12"/>
  <c r="T15" i="12"/>
  <c r="U15" i="12"/>
  <c r="V15" i="12"/>
  <c r="W15" i="12"/>
  <c r="X15" i="12"/>
  <c r="E16" i="12"/>
  <c r="F16" i="12"/>
  <c r="G16" i="12"/>
  <c r="H16" i="12"/>
  <c r="I16" i="12"/>
  <c r="J16" i="12"/>
  <c r="K16" i="12"/>
  <c r="L16" i="12"/>
  <c r="M16" i="12"/>
  <c r="N16" i="12"/>
  <c r="O16" i="12"/>
  <c r="P16" i="12"/>
  <c r="Q16" i="12"/>
  <c r="R16" i="12"/>
  <c r="S16" i="12"/>
  <c r="T16" i="12"/>
  <c r="U16" i="12"/>
  <c r="V16" i="12"/>
  <c r="W16" i="12"/>
  <c r="X16" i="12"/>
  <c r="E17" i="12"/>
  <c r="F17" i="12"/>
  <c r="G17" i="12"/>
  <c r="H17" i="12"/>
  <c r="I17" i="12"/>
  <c r="J17" i="12"/>
  <c r="K17" i="12"/>
  <c r="L17" i="12"/>
  <c r="M17" i="12"/>
  <c r="N17" i="12"/>
  <c r="O17" i="12"/>
  <c r="P17" i="12"/>
  <c r="Q17" i="12"/>
  <c r="R17" i="12"/>
  <c r="S17" i="12"/>
  <c r="T17" i="12"/>
  <c r="U17" i="12"/>
  <c r="V17" i="12"/>
  <c r="W17" i="12"/>
  <c r="X17" i="12"/>
  <c r="E18" i="12"/>
  <c r="F18" i="12"/>
  <c r="G18" i="12"/>
  <c r="H18" i="12"/>
  <c r="I18" i="12"/>
  <c r="J18" i="12"/>
  <c r="K18" i="12"/>
  <c r="L18" i="12"/>
  <c r="M18" i="12"/>
  <c r="N18" i="12"/>
  <c r="O18" i="12"/>
  <c r="P18" i="12"/>
  <c r="Q18" i="12"/>
  <c r="R18" i="12"/>
  <c r="S18" i="12"/>
  <c r="T18" i="12"/>
  <c r="U18" i="12"/>
  <c r="V18" i="12"/>
  <c r="W18" i="12"/>
  <c r="X18" i="12"/>
  <c r="E19" i="12"/>
  <c r="F19" i="12"/>
  <c r="G19" i="12"/>
  <c r="H19" i="12"/>
  <c r="I19" i="12"/>
  <c r="J19" i="12"/>
  <c r="K19" i="12"/>
  <c r="L19" i="12"/>
  <c r="M19" i="12"/>
  <c r="N19" i="12"/>
  <c r="O19" i="12"/>
  <c r="P19" i="12"/>
  <c r="Q19" i="12"/>
  <c r="R19" i="12"/>
  <c r="S19" i="12"/>
  <c r="T19" i="12"/>
  <c r="U19" i="12"/>
  <c r="V19" i="12"/>
  <c r="W19" i="12"/>
  <c r="X19" i="12"/>
  <c r="E20" i="12"/>
  <c r="F20" i="12"/>
  <c r="G20" i="12"/>
  <c r="H20" i="12"/>
  <c r="I20" i="12"/>
  <c r="J20" i="12"/>
  <c r="K20" i="12"/>
  <c r="L20" i="12"/>
  <c r="M20" i="12"/>
  <c r="N20" i="12"/>
  <c r="O20" i="12"/>
  <c r="P20" i="12"/>
  <c r="Q20" i="12"/>
  <c r="R20" i="12"/>
  <c r="S20" i="12"/>
  <c r="T20" i="12"/>
  <c r="U20" i="12"/>
  <c r="V20" i="12"/>
  <c r="W20" i="12"/>
  <c r="X20" i="12"/>
  <c r="E23" i="12"/>
  <c r="F23" i="12"/>
  <c r="G23" i="12"/>
  <c r="H23" i="12"/>
  <c r="I23" i="12"/>
  <c r="J23" i="12"/>
  <c r="K23" i="12"/>
  <c r="L23" i="12"/>
  <c r="M23" i="12"/>
  <c r="N23" i="12"/>
  <c r="O23" i="12"/>
  <c r="P23" i="12"/>
  <c r="Q23" i="12"/>
  <c r="R23" i="12"/>
  <c r="S23" i="12"/>
  <c r="T23" i="12"/>
  <c r="U23" i="12"/>
  <c r="V23" i="12"/>
  <c r="W23" i="12"/>
  <c r="X23" i="12"/>
  <c r="E24" i="12"/>
  <c r="F24" i="12"/>
  <c r="G24" i="12"/>
  <c r="H24" i="12"/>
  <c r="I24" i="12"/>
  <c r="J24" i="12"/>
  <c r="K24" i="12"/>
  <c r="L24" i="12"/>
  <c r="M24" i="12"/>
  <c r="N24" i="12"/>
  <c r="O24" i="12"/>
  <c r="P24" i="12"/>
  <c r="Q24" i="12"/>
  <c r="R24" i="12"/>
  <c r="S24" i="12"/>
  <c r="T24" i="12"/>
  <c r="U24" i="12"/>
  <c r="V24" i="12"/>
  <c r="W24" i="12"/>
  <c r="X24" i="12"/>
  <c r="E25" i="12"/>
  <c r="F25" i="12"/>
  <c r="G25" i="12"/>
  <c r="H25" i="12"/>
  <c r="I25" i="12"/>
  <c r="J25" i="12"/>
  <c r="K25" i="12"/>
  <c r="L25" i="12"/>
  <c r="M25" i="12"/>
  <c r="N25" i="12"/>
  <c r="O25" i="12"/>
  <c r="P25" i="12"/>
  <c r="Q25" i="12"/>
  <c r="R25" i="12"/>
  <c r="S25" i="12"/>
  <c r="T25" i="12"/>
  <c r="U25" i="12"/>
  <c r="V25" i="12"/>
  <c r="W25" i="12"/>
  <c r="X25" i="12"/>
  <c r="E26" i="12"/>
  <c r="F26" i="12"/>
  <c r="G26" i="12"/>
  <c r="H26" i="12"/>
  <c r="I26" i="12"/>
  <c r="J26" i="12"/>
  <c r="K26" i="12"/>
  <c r="L26" i="12"/>
  <c r="M26" i="12"/>
  <c r="N26" i="12"/>
  <c r="O26" i="12"/>
  <c r="P26" i="12"/>
  <c r="Q26" i="12"/>
  <c r="R26" i="12"/>
  <c r="S26" i="12"/>
  <c r="T26" i="12"/>
  <c r="U26" i="12"/>
  <c r="V26" i="12"/>
  <c r="W26" i="12"/>
  <c r="X26" i="12"/>
  <c r="E27" i="12"/>
  <c r="F27" i="12"/>
  <c r="G27" i="12"/>
  <c r="H27" i="12"/>
  <c r="I27" i="12"/>
  <c r="J27" i="12"/>
  <c r="K27" i="12"/>
  <c r="L27" i="12"/>
  <c r="M27" i="12"/>
  <c r="N27" i="12"/>
  <c r="O27" i="12"/>
  <c r="P27" i="12"/>
  <c r="Q27" i="12"/>
  <c r="R27" i="12"/>
  <c r="S27" i="12"/>
  <c r="T27" i="12"/>
  <c r="U27" i="12"/>
  <c r="V27" i="12"/>
  <c r="W27" i="12"/>
  <c r="X27" i="12"/>
  <c r="E28" i="12"/>
  <c r="F28" i="12"/>
  <c r="G28" i="12"/>
  <c r="H28" i="12"/>
  <c r="I28" i="12"/>
  <c r="J28" i="12"/>
  <c r="K28" i="12"/>
  <c r="L28" i="12"/>
  <c r="M28" i="12"/>
  <c r="N28" i="12"/>
  <c r="O28" i="12"/>
  <c r="P28" i="12"/>
  <c r="Q28" i="12"/>
  <c r="R28" i="12"/>
  <c r="S28" i="12"/>
  <c r="T28" i="12"/>
  <c r="U28" i="12"/>
  <c r="V28" i="12"/>
  <c r="W28" i="12"/>
  <c r="X28" i="12"/>
  <c r="E29" i="12"/>
  <c r="F29" i="12"/>
  <c r="G29" i="12"/>
  <c r="H29" i="12"/>
  <c r="I29" i="12"/>
  <c r="J29" i="12"/>
  <c r="K29" i="12"/>
  <c r="L29" i="12"/>
  <c r="M29" i="12"/>
  <c r="N29" i="12"/>
  <c r="O29" i="12"/>
  <c r="P29" i="12"/>
  <c r="Q29" i="12"/>
  <c r="R29" i="12"/>
  <c r="S29" i="12"/>
  <c r="T29" i="12"/>
  <c r="U29" i="12"/>
  <c r="V29" i="12"/>
  <c r="W29" i="12"/>
  <c r="X29" i="12"/>
  <c r="E32" i="12"/>
  <c r="F32" i="12"/>
  <c r="G32" i="12"/>
  <c r="H32" i="12"/>
  <c r="I32" i="12"/>
  <c r="J32" i="12"/>
  <c r="J52" i="12" s="1"/>
  <c r="K32" i="12"/>
  <c r="L32" i="12"/>
  <c r="L52" i="12" s="1"/>
  <c r="M32" i="12"/>
  <c r="M52" i="12" s="1"/>
  <c r="N32" i="12"/>
  <c r="O32" i="12"/>
  <c r="P32" i="12"/>
  <c r="Q32" i="12"/>
  <c r="R32" i="12"/>
  <c r="S32" i="12"/>
  <c r="T32" i="12"/>
  <c r="U32" i="12"/>
  <c r="V32" i="12"/>
  <c r="W32" i="12"/>
  <c r="X32" i="12"/>
  <c r="E33" i="12"/>
  <c r="F33" i="12"/>
  <c r="G33" i="12"/>
  <c r="H33" i="12"/>
  <c r="I33" i="12"/>
  <c r="J33" i="12"/>
  <c r="K33" i="12"/>
  <c r="L33" i="12"/>
  <c r="M33" i="12"/>
  <c r="N33" i="12"/>
  <c r="O33" i="12"/>
  <c r="P33" i="12"/>
  <c r="Q33" i="12"/>
  <c r="R33" i="12"/>
  <c r="S33" i="12"/>
  <c r="T33" i="12"/>
  <c r="U33" i="12"/>
  <c r="V33" i="12"/>
  <c r="W33" i="12"/>
  <c r="X33" i="12"/>
  <c r="E35" i="12"/>
  <c r="F35" i="12"/>
  <c r="G35" i="12"/>
  <c r="H35" i="12"/>
  <c r="I35" i="12"/>
  <c r="J35" i="12"/>
  <c r="K35" i="12"/>
  <c r="L35" i="12"/>
  <c r="M35" i="12"/>
  <c r="N35" i="12"/>
  <c r="O35" i="12"/>
  <c r="P35" i="12"/>
  <c r="Q35" i="12"/>
  <c r="R35" i="12"/>
  <c r="S35" i="12"/>
  <c r="T35" i="12"/>
  <c r="U35" i="12"/>
  <c r="V35" i="12"/>
  <c r="W35" i="12"/>
  <c r="X35" i="12"/>
  <c r="E36" i="12"/>
  <c r="F36" i="12"/>
  <c r="G36" i="12"/>
  <c r="H36" i="12"/>
  <c r="I36" i="12"/>
  <c r="J36" i="12"/>
  <c r="K36" i="12"/>
  <c r="L36" i="12"/>
  <c r="M36" i="12"/>
  <c r="N36" i="12"/>
  <c r="O36" i="12"/>
  <c r="P36" i="12"/>
  <c r="Q36" i="12"/>
  <c r="R36" i="12"/>
  <c r="S36" i="12"/>
  <c r="T36" i="12"/>
  <c r="U36" i="12"/>
  <c r="V36" i="12"/>
  <c r="W36" i="12"/>
  <c r="X36" i="12"/>
  <c r="E37" i="12"/>
  <c r="F37" i="12"/>
  <c r="G37" i="12"/>
  <c r="H37" i="12"/>
  <c r="I37" i="12"/>
  <c r="J37" i="12"/>
  <c r="K37" i="12"/>
  <c r="L37" i="12"/>
  <c r="M37" i="12"/>
  <c r="N37" i="12"/>
  <c r="O37" i="12"/>
  <c r="P37" i="12"/>
  <c r="Q37" i="12"/>
  <c r="R37" i="12"/>
  <c r="S37" i="12"/>
  <c r="T37" i="12"/>
  <c r="U37" i="12"/>
  <c r="V37" i="12"/>
  <c r="W37" i="12"/>
  <c r="X37" i="12"/>
  <c r="N40" i="12"/>
  <c r="O40" i="12"/>
  <c r="P40" i="12"/>
  <c r="Q40" i="12"/>
  <c r="R40" i="12"/>
  <c r="S40" i="12"/>
  <c r="T40" i="12"/>
  <c r="U40" i="12"/>
  <c r="V40" i="12"/>
  <c r="W40" i="12"/>
  <c r="X40" i="12"/>
  <c r="J41" i="12"/>
  <c r="K41" i="12"/>
  <c r="L41" i="12"/>
  <c r="M41" i="12"/>
  <c r="N41" i="12"/>
  <c r="O41" i="12"/>
  <c r="P41" i="12"/>
  <c r="Q41" i="12"/>
  <c r="R41" i="12"/>
  <c r="S41" i="12"/>
  <c r="T41" i="12"/>
  <c r="U41" i="12"/>
  <c r="V41" i="12"/>
  <c r="W41" i="12"/>
  <c r="X41" i="12"/>
  <c r="J42" i="12"/>
  <c r="K42" i="12"/>
  <c r="L42" i="12"/>
  <c r="M42" i="12"/>
  <c r="N42" i="12"/>
  <c r="O42" i="12"/>
  <c r="P42" i="12"/>
  <c r="Q42" i="12"/>
  <c r="R42" i="12"/>
  <c r="S42" i="12"/>
  <c r="T42" i="12"/>
  <c r="U42" i="12"/>
  <c r="V42" i="12"/>
  <c r="W42" i="12"/>
  <c r="X42" i="12"/>
  <c r="E43" i="12"/>
  <c r="F43" i="12"/>
  <c r="G43" i="12"/>
  <c r="H43" i="12"/>
  <c r="I43" i="12"/>
  <c r="J43" i="12"/>
  <c r="K43" i="12"/>
  <c r="L43" i="12"/>
  <c r="M43" i="12"/>
  <c r="N43" i="12"/>
  <c r="O43" i="12"/>
  <c r="P43" i="12"/>
  <c r="Q43" i="12"/>
  <c r="R43" i="12"/>
  <c r="S43" i="12"/>
  <c r="T43" i="12"/>
  <c r="U43" i="12"/>
  <c r="V43" i="12"/>
  <c r="W43" i="12"/>
  <c r="X43" i="12"/>
  <c r="E44" i="12"/>
  <c r="F44" i="12"/>
  <c r="G44" i="12"/>
  <c r="H44" i="12"/>
  <c r="I44" i="12"/>
  <c r="J44" i="12"/>
  <c r="K44" i="12"/>
  <c r="L44" i="12"/>
  <c r="M44" i="12"/>
  <c r="N44" i="12"/>
  <c r="O44" i="12"/>
  <c r="P44" i="12"/>
  <c r="Q44" i="12"/>
  <c r="R44" i="12"/>
  <c r="S44" i="12"/>
  <c r="T44" i="12"/>
  <c r="U44" i="12"/>
  <c r="V44" i="12"/>
  <c r="W44" i="12"/>
  <c r="X44" i="12"/>
  <c r="E45" i="12"/>
  <c r="F45" i="12"/>
  <c r="G45" i="12"/>
  <c r="H45" i="12"/>
  <c r="I45" i="12"/>
  <c r="J45" i="12"/>
  <c r="K45" i="12"/>
  <c r="L45" i="12"/>
  <c r="M45" i="12"/>
  <c r="N45" i="12"/>
  <c r="O45" i="12"/>
  <c r="P45" i="12"/>
  <c r="Q45" i="12"/>
  <c r="R45" i="12"/>
  <c r="S45" i="12"/>
  <c r="T45" i="12"/>
  <c r="U45" i="12"/>
  <c r="V45" i="12"/>
  <c r="W45" i="12"/>
  <c r="X45" i="12"/>
  <c r="E46" i="12"/>
  <c r="F46" i="12"/>
  <c r="G46" i="12"/>
  <c r="H46" i="12"/>
  <c r="I46" i="12"/>
  <c r="J46" i="12"/>
  <c r="K46" i="12"/>
  <c r="L46" i="12"/>
  <c r="M46" i="12"/>
  <c r="N46" i="12"/>
  <c r="O46" i="12"/>
  <c r="P46" i="12"/>
  <c r="Q46" i="12"/>
  <c r="R46" i="12"/>
  <c r="S46" i="12"/>
  <c r="T46" i="12"/>
  <c r="U46" i="12"/>
  <c r="V46" i="12"/>
  <c r="W46" i="12"/>
  <c r="X46" i="12"/>
  <c r="Q5" i="12"/>
  <c r="R5" i="12"/>
  <c r="S5" i="12"/>
  <c r="T5" i="12"/>
  <c r="U5" i="12"/>
  <c r="V5" i="12"/>
  <c r="W5" i="12"/>
  <c r="X5" i="12"/>
  <c r="P5" i="12"/>
  <c r="O5" i="12"/>
  <c r="N5" i="12"/>
  <c r="M5" i="12"/>
  <c r="L5" i="12"/>
  <c r="K5" i="12"/>
  <c r="J5" i="12"/>
  <c r="I5" i="12"/>
  <c r="H5" i="12"/>
  <c r="G5" i="12"/>
  <c r="F5" i="12"/>
  <c r="E5" i="12"/>
  <c r="P121" i="12" l="1"/>
  <c r="P109" i="12"/>
  <c r="AD44" i="1"/>
  <c r="AC44" i="1"/>
  <c r="J44" i="1"/>
  <c r="P120" i="12"/>
  <c r="P108" i="12"/>
  <c r="T44" i="1"/>
  <c r="L44" i="1"/>
  <c r="AB44" i="1"/>
  <c r="H44" i="1"/>
  <c r="P119" i="12"/>
  <c r="P107" i="12"/>
  <c r="P118" i="12"/>
  <c r="P106" i="12"/>
  <c r="AA44" i="1"/>
  <c r="F44" i="1"/>
  <c r="Z44" i="1"/>
  <c r="D44" i="1"/>
  <c r="P117" i="12"/>
  <c r="P105" i="12"/>
  <c r="Y44" i="1"/>
  <c r="P116" i="12"/>
  <c r="P104" i="12"/>
  <c r="X44" i="1"/>
  <c r="N52" i="12"/>
  <c r="V44" i="1"/>
  <c r="P114" i="12"/>
  <c r="P102" i="12"/>
  <c r="P125" i="12"/>
  <c r="P113" i="12"/>
  <c r="P124" i="12"/>
  <c r="P112" i="12"/>
  <c r="AG44" i="1"/>
  <c r="R44" i="1"/>
  <c r="K52" i="12"/>
  <c r="AF44" i="1"/>
  <c r="P44" i="1"/>
  <c r="P123" i="12"/>
  <c r="P111" i="12"/>
  <c r="AE44" i="1"/>
  <c r="N44" i="1"/>
  <c r="P122" i="12"/>
  <c r="P110" i="12"/>
  <c r="P101" i="12"/>
  <c r="W16" i="1"/>
  <c r="R15" i="1"/>
  <c r="W15" i="1"/>
  <c r="R16" i="1"/>
  <c r="W17" i="1"/>
  <c r="W18" i="1"/>
  <c r="W19" i="1"/>
  <c r="R20" i="1"/>
  <c r="L51" i="12"/>
  <c r="R74" i="1" s="1"/>
  <c r="L50" i="12"/>
  <c r="R73" i="1" s="1"/>
  <c r="N50" i="12"/>
  <c r="V73" i="1" s="1"/>
  <c r="N51" i="12"/>
  <c r="V74" i="1" s="1"/>
  <c r="M50" i="12"/>
  <c r="T73" i="1" s="1"/>
  <c r="M51" i="12"/>
  <c r="T74" i="1" s="1"/>
  <c r="J50" i="12"/>
  <c r="N73" i="1" s="1"/>
  <c r="J51" i="12"/>
  <c r="N74" i="1" s="1"/>
  <c r="K50" i="12"/>
  <c r="P73" i="1" s="1"/>
  <c r="K51" i="12"/>
  <c r="P74" i="1" s="1"/>
  <c r="F53" i="1"/>
  <c r="AE53" i="1"/>
  <c r="AE61" i="1"/>
  <c r="AA53" i="1"/>
  <c r="V53" i="1"/>
  <c r="N53" i="1"/>
  <c r="AF61" i="1"/>
  <c r="T61" i="1"/>
  <c r="AA61" i="1"/>
  <c r="F61" i="1"/>
  <c r="H61" i="1"/>
  <c r="D61" i="1"/>
  <c r="AD61" i="1"/>
  <c r="Z61" i="1"/>
  <c r="AG53" i="1"/>
  <c r="R53" i="1"/>
  <c r="AE70" i="1"/>
  <c r="AA70" i="1"/>
  <c r="AB61" i="1"/>
  <c r="X61" i="1"/>
  <c r="P61" i="1"/>
  <c r="AF53" i="1"/>
  <c r="AB53" i="1"/>
  <c r="X53" i="1"/>
  <c r="P53" i="1"/>
  <c r="H53" i="1"/>
  <c r="AG61" i="1"/>
  <c r="AC61" i="1"/>
  <c r="Y61" i="1"/>
  <c r="R61" i="1"/>
  <c r="J61" i="1"/>
  <c r="Y53" i="1"/>
  <c r="V61" i="1"/>
  <c r="N61" i="1"/>
  <c r="AC53" i="1"/>
  <c r="J53" i="1"/>
  <c r="AG34" i="1"/>
  <c r="AC34" i="1"/>
  <c r="L61" i="1"/>
  <c r="AD53" i="1"/>
  <c r="Z53" i="1"/>
  <c r="T53" i="1"/>
  <c r="L53" i="1"/>
  <c r="U50" i="12"/>
  <c r="AD73" i="1" s="1"/>
  <c r="W51" i="12"/>
  <c r="S51" i="12"/>
  <c r="D53" i="1"/>
  <c r="V50" i="12"/>
  <c r="AE73" i="1" s="1"/>
  <c r="R50" i="12"/>
  <c r="AA73" i="1" s="1"/>
  <c r="V70" i="1"/>
  <c r="N70" i="1"/>
  <c r="AG70" i="1"/>
  <c r="AC70" i="1"/>
  <c r="Y70" i="1"/>
  <c r="R70" i="1"/>
  <c r="AF70" i="1"/>
  <c r="AB70" i="1"/>
  <c r="X70" i="1"/>
  <c r="P70" i="1"/>
  <c r="AD70" i="1"/>
  <c r="Z70" i="1"/>
  <c r="T70" i="1"/>
  <c r="Q50" i="12"/>
  <c r="Z73" i="1" s="1"/>
  <c r="R34" i="1"/>
  <c r="Y34" i="1"/>
  <c r="N112" i="12"/>
  <c r="F34" i="1"/>
  <c r="N34" i="1"/>
  <c r="V34" i="1"/>
  <c r="D34" i="1"/>
  <c r="L34" i="1"/>
  <c r="T34" i="1"/>
  <c r="N114" i="12"/>
  <c r="J34" i="1"/>
  <c r="L125" i="12"/>
  <c r="L105" i="12"/>
  <c r="H34" i="1"/>
  <c r="X34" i="1"/>
  <c r="L121" i="12"/>
  <c r="N110" i="12"/>
  <c r="N122" i="12"/>
  <c r="N116" i="12"/>
  <c r="N104" i="12"/>
  <c r="L112" i="12"/>
  <c r="M112" i="12" s="1"/>
  <c r="N123" i="12"/>
  <c r="N111" i="12"/>
  <c r="N107" i="12"/>
  <c r="N120" i="12"/>
  <c r="N108" i="12"/>
  <c r="AF34" i="1"/>
  <c r="AB34" i="1"/>
  <c r="N119" i="12"/>
  <c r="L113" i="12"/>
  <c r="L109" i="12"/>
  <c r="N105" i="12"/>
  <c r="AD34" i="1"/>
  <c r="Z34" i="1"/>
  <c r="P34" i="1"/>
  <c r="L104" i="12"/>
  <c r="AE34" i="1"/>
  <c r="AA34" i="1"/>
  <c r="H144" i="1"/>
  <c r="N102" i="12"/>
  <c r="N101" i="12"/>
  <c r="Q61" i="12"/>
  <c r="L120" i="12"/>
  <c r="L115" i="12"/>
  <c r="M115" i="12" s="1"/>
  <c r="K61" i="12"/>
  <c r="L124" i="12"/>
  <c r="N115" i="12"/>
  <c r="H112" i="12"/>
  <c r="L108" i="12"/>
  <c r="N106" i="12"/>
  <c r="L119" i="12"/>
  <c r="M119" i="12" s="1"/>
  <c r="L111" i="12"/>
  <c r="N118" i="12"/>
  <c r="L117" i="12"/>
  <c r="L116" i="12"/>
  <c r="N125" i="12"/>
  <c r="N121" i="12"/>
  <c r="N117" i="12"/>
  <c r="N113" i="12"/>
  <c r="N109" i="12"/>
  <c r="L103" i="12"/>
  <c r="H115" i="12"/>
  <c r="M61" i="12"/>
  <c r="N61" i="12"/>
  <c r="H119" i="12"/>
  <c r="H103" i="12"/>
  <c r="N103" i="12"/>
  <c r="L123" i="12"/>
  <c r="L107" i="12"/>
  <c r="N124" i="12"/>
  <c r="L122" i="12"/>
  <c r="L118" i="12"/>
  <c r="L114" i="12"/>
  <c r="L110" i="12"/>
  <c r="L106" i="12"/>
  <c r="U61" i="12"/>
  <c r="J61" i="12"/>
  <c r="X61" i="12"/>
  <c r="T61" i="12"/>
  <c r="P61" i="12"/>
  <c r="I61" i="12"/>
  <c r="W61" i="12"/>
  <c r="S61" i="12"/>
  <c r="O61" i="12"/>
  <c r="L61" i="12"/>
  <c r="H61" i="12"/>
  <c r="V61" i="12"/>
  <c r="R61" i="12"/>
  <c r="D84" i="12"/>
  <c r="U52" i="12"/>
  <c r="Q52" i="12"/>
  <c r="X52" i="12"/>
  <c r="T52" i="12"/>
  <c r="P52" i="12"/>
  <c r="W52" i="12"/>
  <c r="S52" i="12"/>
  <c r="O52" i="12"/>
  <c r="V52" i="12"/>
  <c r="R52" i="12"/>
  <c r="T50" i="12"/>
  <c r="AC73" i="1" s="1"/>
  <c r="X50" i="12"/>
  <c r="AG73" i="1" s="1"/>
  <c r="P51" i="12"/>
  <c r="Y74" i="1" s="1"/>
  <c r="T51" i="12"/>
  <c r="AC74" i="1" s="1"/>
  <c r="U51" i="12"/>
  <c r="AD74" i="1" s="1"/>
  <c r="Q51" i="12"/>
  <c r="Z74" i="1" s="1"/>
  <c r="O51" i="12"/>
  <c r="X74" i="1" s="1"/>
  <c r="P50" i="12"/>
  <c r="Y73" i="1" s="1"/>
  <c r="X51" i="12"/>
  <c r="AG74" i="1" s="1"/>
  <c r="W50" i="12"/>
  <c r="AF73" i="1" s="1"/>
  <c r="S50" i="12"/>
  <c r="AB73" i="1" s="1"/>
  <c r="V51" i="12"/>
  <c r="AE74" i="1" s="1"/>
  <c r="R51" i="12"/>
  <c r="AA74" i="1" s="1"/>
  <c r="O50" i="12"/>
  <c r="X73" i="1" s="1"/>
  <c r="M103" i="12" l="1"/>
  <c r="M117" i="12"/>
  <c r="P123" i="1" s="1"/>
  <c r="M105" i="12"/>
  <c r="P111" i="1" s="1"/>
  <c r="M124" i="12"/>
  <c r="P130" i="1" s="1"/>
  <c r="M114" i="12"/>
  <c r="P120" i="1" s="1"/>
  <c r="M123" i="12"/>
  <c r="P129" i="1" s="1"/>
  <c r="M111" i="12"/>
  <c r="P117" i="1" s="1"/>
  <c r="M104" i="12"/>
  <c r="P110" i="1" s="1"/>
  <c r="M121" i="12"/>
  <c r="P127" i="1" s="1"/>
  <c r="M125" i="12"/>
  <c r="P131" i="1" s="1"/>
  <c r="M110" i="12"/>
  <c r="P116" i="1" s="1"/>
  <c r="M113" i="12"/>
  <c r="P119" i="1" s="1"/>
  <c r="M107" i="12"/>
  <c r="P113" i="1" s="1"/>
  <c r="M108" i="12"/>
  <c r="P114" i="1" s="1"/>
  <c r="M118" i="12"/>
  <c r="P124" i="1" s="1"/>
  <c r="M106" i="12"/>
  <c r="P112" i="1" s="1"/>
  <c r="M122" i="12"/>
  <c r="P128" i="1" s="1"/>
  <c r="M116" i="12"/>
  <c r="P122" i="1" s="1"/>
  <c r="M120" i="12"/>
  <c r="P126" i="1" s="1"/>
  <c r="M109" i="12"/>
  <c r="P115" i="1" s="1"/>
  <c r="P121" i="1"/>
  <c r="S53" i="12"/>
  <c r="AB74" i="1"/>
  <c r="W53" i="12"/>
  <c r="AF74" i="1"/>
  <c r="P118" i="1"/>
  <c r="P109" i="1"/>
  <c r="P125" i="1"/>
  <c r="R53" i="12"/>
  <c r="T53" i="12"/>
  <c r="K53" i="12"/>
  <c r="Q53" i="12"/>
  <c r="L53" i="12"/>
  <c r="M53" i="12"/>
  <c r="J53" i="12"/>
  <c r="U53" i="12"/>
  <c r="O53" i="12"/>
  <c r="V53" i="12"/>
  <c r="N53" i="12"/>
  <c r="X53" i="12"/>
  <c r="P53" i="12"/>
  <c r="F98" i="9" l="1"/>
  <c r="F99" i="9"/>
  <c r="F100" i="9"/>
  <c r="F101" i="9"/>
  <c r="F102" i="9"/>
  <c r="F103" i="9"/>
  <c r="F104" i="9"/>
  <c r="F105" i="9"/>
  <c r="F106" i="9"/>
  <c r="F107" i="9"/>
  <c r="F108" i="9"/>
  <c r="F109" i="9"/>
  <c r="F110" i="9"/>
  <c r="F111" i="9"/>
  <c r="F112" i="9"/>
  <c r="F113" i="9"/>
  <c r="F114" i="9"/>
  <c r="F115" i="9"/>
  <c r="F116" i="9"/>
  <c r="F117" i="9"/>
  <c r="F97" i="9"/>
  <c r="C98" i="9"/>
  <c r="C99" i="9"/>
  <c r="C100" i="9"/>
  <c r="C101" i="9"/>
  <c r="C102" i="9"/>
  <c r="C103" i="9"/>
  <c r="C104" i="9"/>
  <c r="C105" i="9"/>
  <c r="C106" i="9"/>
  <c r="C107" i="9"/>
  <c r="C108" i="9"/>
  <c r="C109" i="9"/>
  <c r="C110" i="9"/>
  <c r="C111" i="9"/>
  <c r="C112" i="9"/>
  <c r="C113" i="9"/>
  <c r="C114" i="9"/>
  <c r="C115" i="9"/>
  <c r="C116" i="9"/>
  <c r="C117" i="9"/>
  <c r="C97" i="9"/>
  <c r="B98" i="9"/>
  <c r="B99" i="9"/>
  <c r="B100" i="9"/>
  <c r="B101" i="9"/>
  <c r="B102" i="9"/>
  <c r="B103" i="9"/>
  <c r="B104" i="9"/>
  <c r="B105" i="9"/>
  <c r="B106" i="9"/>
  <c r="B107" i="9"/>
  <c r="B108" i="9"/>
  <c r="B109" i="9"/>
  <c r="B110" i="9"/>
  <c r="B111" i="9"/>
  <c r="B112" i="9"/>
  <c r="B113" i="9"/>
  <c r="B114" i="9"/>
  <c r="B115" i="9"/>
  <c r="B116" i="9"/>
  <c r="B117" i="9"/>
  <c r="B97" i="9"/>
  <c r="E92" i="9"/>
  <c r="C80" i="9"/>
  <c r="F67" i="9"/>
  <c r="C73" i="9"/>
  <c r="E47" i="9"/>
  <c r="F36" i="9"/>
  <c r="F31" i="9"/>
  <c r="F29" i="9"/>
  <c r="F27" i="9"/>
  <c r="C37" i="9"/>
  <c r="C36" i="9"/>
  <c r="C33" i="9"/>
  <c r="C32" i="9"/>
  <c r="C31" i="9"/>
  <c r="C29" i="9"/>
  <c r="C27" i="9"/>
  <c r="C21" i="9"/>
  <c r="C20" i="9"/>
  <c r="C19" i="9"/>
  <c r="E2" i="9"/>
  <c r="C9" i="9"/>
  <c r="C7" i="9"/>
  <c r="F7" i="9"/>
  <c r="F6" i="9"/>
  <c r="C6" i="9"/>
  <c r="AP69" i="8"/>
  <c r="AP70" i="8"/>
  <c r="AP64" i="8"/>
  <c r="AP65" i="8"/>
  <c r="AP66" i="8"/>
  <c r="AP67" i="8"/>
  <c r="AP68" i="8"/>
  <c r="AP54" i="8"/>
  <c r="AP55" i="8"/>
  <c r="AP56" i="8"/>
  <c r="AP57" i="8"/>
  <c r="AP58" i="8"/>
  <c r="AP59" i="8"/>
  <c r="AP60" i="8"/>
  <c r="AP61" i="8"/>
  <c r="AP62" i="8"/>
  <c r="AP63" i="8"/>
  <c r="AP50" i="8"/>
  <c r="AP51" i="8"/>
  <c r="AP52" i="8"/>
  <c r="AP53" i="8"/>
  <c r="AP11" i="8"/>
  <c r="AP12" i="8"/>
  <c r="AP13" i="8"/>
  <c r="AP14" i="8"/>
  <c r="AP15" i="8"/>
  <c r="AP16" i="8"/>
  <c r="AP17" i="8"/>
  <c r="AP18" i="8"/>
  <c r="AP19" i="8"/>
  <c r="AP20" i="8"/>
  <c r="AP21" i="8"/>
  <c r="AP22" i="8"/>
  <c r="AP23" i="8"/>
  <c r="AP24" i="8"/>
  <c r="AP25" i="8"/>
  <c r="AP26" i="8"/>
  <c r="AP27" i="8"/>
  <c r="AP28" i="8"/>
  <c r="AP29" i="8"/>
  <c r="AP30" i="8"/>
  <c r="AP31" i="8"/>
  <c r="AP32" i="8"/>
  <c r="AP33" i="8"/>
  <c r="AP34" i="8"/>
  <c r="AP35" i="8"/>
  <c r="AP36" i="8"/>
  <c r="AP37" i="8"/>
  <c r="AP38" i="8"/>
  <c r="AP39" i="8"/>
  <c r="AP40" i="8"/>
  <c r="AP41" i="8"/>
  <c r="AP42" i="8"/>
  <c r="AP43" i="8"/>
  <c r="AP44" i="8"/>
  <c r="AP45" i="8"/>
  <c r="AP46" i="8"/>
  <c r="AP47" i="8"/>
  <c r="AP48" i="8"/>
  <c r="AP49" i="8"/>
  <c r="AP10" i="8"/>
  <c r="E11" i="8"/>
  <c r="E12" i="8"/>
  <c r="M34" i="8" s="1"/>
  <c r="E13" i="8"/>
  <c r="E14" i="8"/>
  <c r="L23" i="8" s="1"/>
  <c r="E15" i="8"/>
  <c r="M44" i="8" s="1"/>
  <c r="E16" i="8"/>
  <c r="E17" i="8"/>
  <c r="M29" i="8" s="1"/>
  <c r="E18" i="8"/>
  <c r="E19" i="8"/>
  <c r="E20" i="8"/>
  <c r="L21" i="8" s="1"/>
  <c r="P21" i="8" s="1"/>
  <c r="C75" i="9" s="1"/>
  <c r="E21" i="8"/>
  <c r="E22" i="8"/>
  <c r="E23" i="8"/>
  <c r="E24" i="8"/>
  <c r="L13" i="8" s="1"/>
  <c r="E25" i="8"/>
  <c r="E26" i="8"/>
  <c r="E27" i="8"/>
  <c r="E28" i="8"/>
  <c r="L44" i="8" s="1"/>
  <c r="E29" i="8"/>
  <c r="E30" i="8"/>
  <c r="E31" i="8"/>
  <c r="E32" i="8"/>
  <c r="E33" i="8"/>
  <c r="M24" i="8" s="1"/>
  <c r="E34" i="8"/>
  <c r="E35" i="8"/>
  <c r="L29" i="8" s="1"/>
  <c r="E36" i="8"/>
  <c r="E37" i="8"/>
  <c r="M20" i="8" s="1"/>
  <c r="E38" i="8"/>
  <c r="E39" i="8"/>
  <c r="L34" i="8" s="1"/>
  <c r="E40" i="8"/>
  <c r="N26" i="8" s="1"/>
  <c r="E41" i="8"/>
  <c r="L33" i="8" s="1"/>
  <c r="E42" i="8"/>
  <c r="L10" i="8" s="1"/>
  <c r="P10" i="8" s="1"/>
  <c r="C64" i="9" s="1"/>
  <c r="E43" i="8"/>
  <c r="E44" i="8"/>
  <c r="L42" i="8" s="1"/>
  <c r="E45" i="8"/>
  <c r="M15" i="8" s="1"/>
  <c r="E46" i="8"/>
  <c r="E47" i="8"/>
  <c r="M27" i="8" s="1"/>
  <c r="E48" i="8"/>
  <c r="L30" i="8" s="1"/>
  <c r="E49" i="8"/>
  <c r="M30" i="8" s="1"/>
  <c r="E50" i="8"/>
  <c r="E51" i="8"/>
  <c r="L18" i="8" s="1"/>
  <c r="E52" i="8"/>
  <c r="M25" i="8" s="1"/>
  <c r="E53" i="8"/>
  <c r="L26" i="8" s="1"/>
  <c r="E54" i="8"/>
  <c r="M18" i="8" s="1"/>
  <c r="E55" i="8"/>
  <c r="L17" i="8" s="1"/>
  <c r="E56" i="8"/>
  <c r="L22" i="8" s="1"/>
  <c r="E57" i="8"/>
  <c r="E58" i="8"/>
  <c r="E59" i="8"/>
  <c r="M35" i="8" s="1"/>
  <c r="E10" i="8"/>
  <c r="B5" i="10"/>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C36" i="1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Z346" i="8"/>
  <c r="Z326" i="8"/>
  <c r="N44" i="8" s="1"/>
  <c r="Z312" i="8"/>
  <c r="Z299" i="8"/>
  <c r="Z289" i="8"/>
  <c r="Z263" i="8"/>
  <c r="Z254" i="8"/>
  <c r="Z242" i="8"/>
  <c r="Z231" i="8"/>
  <c r="Z221" i="8"/>
  <c r="Z214" i="8"/>
  <c r="Z205" i="8"/>
  <c r="Z198" i="8"/>
  <c r="Z190" i="8"/>
  <c r="Z183" i="8"/>
  <c r="Z176" i="8"/>
  <c r="Z111" i="8"/>
  <c r="Z101" i="8"/>
  <c r="Z94" i="8"/>
  <c r="Z88" i="8"/>
  <c r="Z81" i="8"/>
  <c r="Z70" i="8"/>
  <c r="Z64" i="8"/>
  <c r="Z55" i="8"/>
  <c r="Z49" i="8"/>
  <c r="O43" i="8"/>
  <c r="Z41" i="8"/>
  <c r="P37" i="8"/>
  <c r="F76" i="9" s="1"/>
  <c r="P36" i="8"/>
  <c r="F75" i="9" s="1"/>
  <c r="Z32" i="8"/>
  <c r="L31" i="8"/>
  <c r="Z23" i="8"/>
  <c r="W22" i="8"/>
  <c r="W31" i="8" s="1"/>
  <c r="W40" i="8" s="1"/>
  <c r="W48" i="8" s="1"/>
  <c r="W54" i="8" s="1"/>
  <c r="W63" i="8" s="1"/>
  <c r="W69" i="8" s="1"/>
  <c r="W80" i="8" s="1"/>
  <c r="W87" i="8" s="1"/>
  <c r="W93" i="8" s="1"/>
  <c r="W100" i="8" s="1"/>
  <c r="W110" i="8" s="1"/>
  <c r="W175" i="8" s="1"/>
  <c r="W182" i="8" s="1"/>
  <c r="W189" i="8" s="1"/>
  <c r="W197" i="8" s="1"/>
  <c r="W204" i="8" s="1"/>
  <c r="W213" i="8" s="1"/>
  <c r="W220" i="8" s="1"/>
  <c r="W230" i="8" s="1"/>
  <c r="W241" i="8" s="1"/>
  <c r="W253" i="8" s="1"/>
  <c r="W262" i="8" s="1"/>
  <c r="W288" i="8" s="1"/>
  <c r="W298" i="8" s="1"/>
  <c r="W305" i="8" s="1"/>
  <c r="W311" i="8" s="1"/>
  <c r="W325" i="8" s="1"/>
  <c r="W345" i="8" s="1"/>
  <c r="Z12" i="8"/>
  <c r="P11" i="8"/>
  <c r="C65" i="9" s="1"/>
  <c r="J11" i="8"/>
  <c r="J12" i="8" s="1"/>
  <c r="J13" i="8" s="1"/>
  <c r="J14" i="8" s="1"/>
  <c r="J15" i="8" s="1"/>
  <c r="J16" i="8" s="1"/>
  <c r="J17" i="8" s="1"/>
  <c r="J18" i="8" s="1"/>
  <c r="J19" i="8" s="1"/>
  <c r="J20" i="8" s="1"/>
  <c r="J21" i="8" s="1"/>
  <c r="J22" i="8" s="1"/>
  <c r="J23" i="8" s="1"/>
  <c r="J24" i="8" s="1"/>
  <c r="J25" i="8" s="1"/>
  <c r="J26" i="8" s="1"/>
  <c r="J27" i="8" s="1"/>
  <c r="J28" i="8" s="1"/>
  <c r="J29" i="8" s="1"/>
  <c r="J30" i="8" s="1"/>
  <c r="J31" i="8" s="1"/>
  <c r="J32" i="8" s="1"/>
  <c r="J33" i="8" s="1"/>
  <c r="J34" i="8" s="1"/>
  <c r="J35" i="8" s="1"/>
  <c r="J36" i="8" s="1"/>
  <c r="J37" i="8" s="1"/>
  <c r="J38" i="8" s="1"/>
  <c r="J39" i="8" s="1"/>
  <c r="C11" i="8"/>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M9" i="8"/>
  <c r="N9" i="8" s="1"/>
  <c r="O9" i="8" s="1"/>
  <c r="P17" i="8" l="1"/>
  <c r="C71" i="9" s="1"/>
  <c r="P29" i="8"/>
  <c r="F68" i="9" s="1"/>
  <c r="O42" i="8"/>
  <c r="P23" i="8"/>
  <c r="C77" i="9" s="1"/>
  <c r="O22" i="8"/>
  <c r="M33" i="8"/>
  <c r="P33" i="8" s="1"/>
  <c r="F72" i="9" s="1"/>
  <c r="N18" i="8"/>
  <c r="M31" i="8"/>
  <c r="P34" i="8" s="1"/>
  <c r="F73" i="9" s="1"/>
  <c r="L16" i="8"/>
  <c r="P16" i="8" s="1"/>
  <c r="C70" i="9" s="1"/>
  <c r="N22" i="8"/>
  <c r="M26" i="8"/>
  <c r="P26" i="8" s="1"/>
  <c r="F65" i="9" s="1"/>
  <c r="L14" i="8"/>
  <c r="L25" i="8"/>
  <c r="L27" i="8"/>
  <c r="P27" i="8" s="1"/>
  <c r="F66" i="9" s="1"/>
  <c r="L12" i="8"/>
  <c r="P12" i="8" s="1"/>
  <c r="C66" i="9" s="1"/>
  <c r="L15" i="8"/>
  <c r="P15" i="8" s="1"/>
  <c r="C69" i="9" s="1"/>
  <c r="M16" i="8"/>
  <c r="L20" i="8"/>
  <c r="P20" i="8" s="1"/>
  <c r="C74" i="9" s="1"/>
  <c r="L24" i="8"/>
  <c r="P24" i="8" s="1"/>
  <c r="C78" i="9" s="1"/>
  <c r="N29" i="8"/>
  <c r="L32" i="8"/>
  <c r="P32" i="8" s="1"/>
  <c r="F71" i="9" s="1"/>
  <c r="L35" i="8"/>
  <c r="P35" i="8" s="1"/>
  <c r="F74" i="9" s="1"/>
  <c r="P18" i="8"/>
  <c r="C72" i="9" s="1"/>
  <c r="P31" i="8"/>
  <c r="F70" i="9" s="1"/>
  <c r="M42" i="8"/>
  <c r="M12" i="8"/>
  <c r="M13" i="8" s="1"/>
  <c r="P13" i="8" s="1"/>
  <c r="C67" i="9" s="1"/>
  <c r="M14" i="8"/>
  <c r="M22" i="8"/>
  <c r="P30" i="8"/>
  <c r="F69" i="9" s="1"/>
  <c r="P22" i="8" l="1"/>
  <c r="C76" i="9" s="1"/>
  <c r="P14" i="8"/>
  <c r="C68" i="9" s="1"/>
  <c r="P25" i="8"/>
  <c r="F64" i="9" s="1"/>
  <c r="P39" i="8"/>
  <c r="P43" i="8" l="1"/>
  <c r="F78" i="9"/>
  <c r="P38" i="8"/>
  <c r="P44" i="8" l="1"/>
  <c r="C82" i="9"/>
  <c r="P42" i="8"/>
  <c r="F77" i="9"/>
  <c r="R33" i="6"/>
  <c r="L64" i="1" s="1"/>
  <c r="I41" i="12" s="1"/>
  <c r="P33" i="6"/>
  <c r="J64" i="1" s="1"/>
  <c r="H41" i="12" s="1"/>
  <c r="N33" i="6"/>
  <c r="H64" i="1" s="1"/>
  <c r="G41" i="12" s="1"/>
  <c r="L33" i="6"/>
  <c r="J33" i="6"/>
  <c r="I42" i="12"/>
  <c r="H42" i="12"/>
  <c r="G42" i="12"/>
  <c r="F42" i="12"/>
  <c r="G52" i="12" l="1"/>
  <c r="G51" i="12"/>
  <c r="H52" i="12"/>
  <c r="H51" i="12"/>
  <c r="I52" i="12"/>
  <c r="I51" i="12"/>
  <c r="J84" i="12"/>
  <c r="K84" i="12"/>
  <c r="L84" i="12"/>
  <c r="F64" i="1"/>
  <c r="F41" i="12" s="1"/>
  <c r="F51" i="12" s="1"/>
  <c r="D64" i="1"/>
  <c r="E41" i="12" s="1"/>
  <c r="H70" i="1"/>
  <c r="J70" i="1"/>
  <c r="L70" i="1"/>
  <c r="I49" i="12"/>
  <c r="L72" i="1" s="1"/>
  <c r="H49" i="12"/>
  <c r="J72" i="1" s="1"/>
  <c r="G49" i="12"/>
  <c r="H72" i="1" s="1"/>
  <c r="E42" i="12"/>
  <c r="C81" i="9"/>
  <c r="P45" i="8"/>
  <c r="C83" i="9"/>
  <c r="F20" i="9"/>
  <c r="L20" i="1"/>
  <c r="K14" i="6"/>
  <c r="L14" i="6"/>
  <c r="M14" i="6"/>
  <c r="N14" i="6"/>
  <c r="O14" i="6"/>
  <c r="P14" i="6"/>
  <c r="Q14" i="6"/>
  <c r="R14" i="6"/>
  <c r="J14" i="6"/>
  <c r="K13" i="6"/>
  <c r="L13" i="6"/>
  <c r="M13" i="6"/>
  <c r="N13" i="6"/>
  <c r="O13" i="6"/>
  <c r="P13" i="6"/>
  <c r="Q13" i="6"/>
  <c r="R13" i="6"/>
  <c r="J13" i="6"/>
  <c r="AV6" i="4"/>
  <c r="E51" i="12" l="1"/>
  <c r="E52" i="12"/>
  <c r="H84" i="12" s="1"/>
  <c r="F52" i="12"/>
  <c r="I84" i="12" s="1"/>
  <c r="F70" i="1"/>
  <c r="F49" i="12"/>
  <c r="F72" i="1" s="1"/>
  <c r="E49" i="12"/>
  <c r="D72" i="1" s="1"/>
  <c r="D70" i="1"/>
  <c r="E50" i="12"/>
  <c r="I50" i="12"/>
  <c r="L73" i="1" s="1"/>
  <c r="H50" i="12"/>
  <c r="J73" i="1" s="1"/>
  <c r="G50" i="12"/>
  <c r="H73" i="1" s="1"/>
  <c r="F50" i="12"/>
  <c r="F73" i="1" s="1"/>
  <c r="F21" i="9"/>
  <c r="C84" i="9"/>
  <c r="P46" i="8"/>
  <c r="T14" i="6"/>
  <c r="T13" i="6"/>
  <c r="G11" i="7"/>
  <c r="F11" i="7" s="1"/>
  <c r="F10" i="7"/>
  <c r="F9" i="7"/>
  <c r="H6" i="7"/>
  <c r="G6" i="7" s="1"/>
  <c r="F6" i="7" s="1"/>
  <c r="G5" i="7"/>
  <c r="F5" i="7" s="1"/>
  <c r="G4" i="7"/>
  <c r="F4" i="7" s="1"/>
  <c r="F3" i="7"/>
  <c r="D73" i="1" l="1"/>
  <c r="D74" i="1"/>
  <c r="H140" i="1"/>
  <c r="R145" i="1" s="1"/>
  <c r="L74" i="1"/>
  <c r="I53" i="12"/>
  <c r="J74" i="1"/>
  <c r="H53" i="12"/>
  <c r="H74" i="1"/>
  <c r="G53" i="12"/>
  <c r="F74" i="1"/>
  <c r="F53" i="12"/>
  <c r="H142" i="1"/>
  <c r="C85" i="9"/>
  <c r="C10" i="9"/>
  <c r="F22" i="9"/>
  <c r="D4" i="7"/>
  <c r="D5" i="7"/>
  <c r="D6" i="7"/>
  <c r="D7" i="7"/>
  <c r="D8" i="7"/>
  <c r="D9" i="7"/>
  <c r="D10" i="7"/>
  <c r="D11" i="7"/>
  <c r="D3" i="7"/>
  <c r="E53" i="12" l="1"/>
  <c r="N54" i="12" s="1"/>
  <c r="L12" i="2"/>
  <c r="O54" i="12" l="1"/>
  <c r="P54" i="12"/>
  <c r="J54" i="12"/>
  <c r="K54" i="12"/>
  <c r="S54" i="12"/>
  <c r="T54" i="12"/>
  <c r="L54" i="12"/>
  <c r="W54" i="12"/>
  <c r="V54" i="12"/>
  <c r="H54" i="12"/>
  <c r="F54" i="12"/>
  <c r="I54" i="12"/>
  <c r="X54" i="12"/>
  <c r="G54" i="12"/>
  <c r="Q54" i="12"/>
  <c r="M54" i="12"/>
  <c r="U54" i="12"/>
  <c r="E54" i="12"/>
  <c r="R54" i="12"/>
  <c r="U18" i="4"/>
  <c r="D10" i="4"/>
  <c r="D9" i="4"/>
  <c r="D8" i="4"/>
  <c r="D7" i="4"/>
  <c r="D6" i="4"/>
  <c r="D5" i="4"/>
  <c r="D4" i="4"/>
  <c r="D3" i="4"/>
  <c r="D12" i="7"/>
  <c r="T9" i="2" l="1"/>
  <c r="S9" i="2"/>
  <c r="C58" i="9"/>
  <c r="AV7" i="4"/>
  <c r="AV5" i="4"/>
  <c r="L102" i="12" s="1"/>
  <c r="AV4" i="4"/>
  <c r="P11" i="1"/>
  <c r="L11" i="2"/>
  <c r="L10" i="2"/>
  <c r="M102" i="12" l="1"/>
  <c r="P108" i="1" s="1"/>
  <c r="U15" i="1"/>
  <c r="O62" i="12"/>
  <c r="C84" i="12"/>
  <c r="E84" i="12" s="1"/>
  <c r="B85" i="12" s="1"/>
  <c r="J62" i="12"/>
  <c r="N62" i="12"/>
  <c r="M62" i="12"/>
  <c r="W62" i="12"/>
  <c r="L62" i="12"/>
  <c r="U62" i="12"/>
  <c r="H62" i="12"/>
  <c r="R62" i="12"/>
  <c r="V62" i="12"/>
  <c r="I62" i="12"/>
  <c r="X62" i="12"/>
  <c r="P62" i="12"/>
  <c r="S62" i="12"/>
  <c r="K62" i="12"/>
  <c r="Q62" i="12"/>
  <c r="T62" i="12"/>
  <c r="M15" i="1"/>
  <c r="L101" i="12"/>
  <c r="M101" i="12" s="1"/>
  <c r="U9" i="2"/>
  <c r="R10" i="2" s="1"/>
  <c r="S10" i="2" s="1"/>
  <c r="N99" i="1"/>
  <c r="L99" i="1"/>
  <c r="J99" i="1"/>
  <c r="H99" i="1"/>
  <c r="F99" i="1"/>
  <c r="E61" i="12" l="1"/>
  <c r="E62" i="12" s="1"/>
  <c r="C85" i="12"/>
  <c r="D85" i="12"/>
  <c r="G61" i="12"/>
  <c r="G62" i="12" s="1"/>
  <c r="N126" i="12"/>
  <c r="R144" i="1" s="1"/>
  <c r="F61" i="12"/>
  <c r="F62" i="12" s="1"/>
  <c r="P107" i="1"/>
  <c r="F134" i="1"/>
  <c r="T10" i="2"/>
  <c r="U10" i="2" s="1"/>
  <c r="R11" i="2" s="1"/>
  <c r="P17" i="1"/>
  <c r="U17" i="1"/>
  <c r="P16" i="1"/>
  <c r="P18" i="1"/>
  <c r="U19" i="1"/>
  <c r="P19" i="1"/>
  <c r="U18" i="1"/>
  <c r="U16" i="1"/>
  <c r="E85" i="12" l="1"/>
  <c r="B86" i="12" s="1"/>
  <c r="C86" i="12" s="1"/>
  <c r="T11" i="2"/>
  <c r="S11" i="2"/>
  <c r="K15" i="1"/>
  <c r="E15" i="1"/>
  <c r="D86" i="12" l="1"/>
  <c r="E86" i="12" s="1"/>
  <c r="B87" i="12" s="1"/>
  <c r="C87" i="12" s="1"/>
  <c r="U11" i="2"/>
  <c r="R12" i="2" s="1"/>
  <c r="S12" i="2" s="1"/>
  <c r="D87" i="12" l="1"/>
  <c r="E87" i="12" s="1"/>
  <c r="B88" i="12" s="1"/>
  <c r="C88" i="12" s="1"/>
  <c r="T12" i="2"/>
  <c r="U12" i="2" s="1"/>
  <c r="R13" i="2" s="1"/>
  <c r="T13" i="2" s="1"/>
  <c r="C57" i="9"/>
  <c r="C28" i="9"/>
  <c r="R14" i="1"/>
  <c r="C30" i="9"/>
  <c r="C59" i="9"/>
  <c r="D88" i="12" l="1"/>
  <c r="E88" i="12" s="1"/>
  <c r="B89" i="12" s="1"/>
  <c r="C89" i="12" s="1"/>
  <c r="S13" i="2"/>
  <c r="U13" i="2" s="1"/>
  <c r="R14" i="2" s="1"/>
  <c r="T14" i="2" s="1"/>
  <c r="D89" i="12" l="1"/>
  <c r="E89" i="12" s="1"/>
  <c r="B90" i="12" s="1"/>
  <c r="C90" i="12" s="1"/>
  <c r="S14" i="2"/>
  <c r="U14" i="2" s="1"/>
  <c r="R15" i="2" s="1"/>
  <c r="P15" i="1"/>
  <c r="T21" i="1" s="1"/>
  <c r="H23" i="2"/>
  <c r="H22" i="2"/>
  <c r="H21" i="2"/>
  <c r="H20" i="2"/>
  <c r="G23" i="2"/>
  <c r="G22" i="2"/>
  <c r="G21" i="2"/>
  <c r="G20" i="2"/>
  <c r="H19" i="2"/>
  <c r="G19" i="2"/>
  <c r="D90" i="12" l="1"/>
  <c r="E90" i="12" s="1"/>
  <c r="B91" i="12" s="1"/>
  <c r="C91" i="12" s="1"/>
  <c r="T15" i="2"/>
  <c r="S15" i="2"/>
  <c r="F56" i="9"/>
  <c r="F13" i="9"/>
  <c r="R21" i="1"/>
  <c r="P20" i="1"/>
  <c r="C13" i="9" s="1"/>
  <c r="F6" i="6"/>
  <c r="D91" i="12" l="1"/>
  <c r="E91" i="12" s="1"/>
  <c r="B92" i="12" s="1"/>
  <c r="C92" i="12" s="1"/>
  <c r="U15" i="2"/>
  <c r="R16" i="2" s="1"/>
  <c r="S16" i="2" s="1"/>
  <c r="T16" i="2" l="1"/>
  <c r="U16" i="2" s="1"/>
  <c r="R17" i="2" s="1"/>
  <c r="S17" i="2" s="1"/>
  <c r="D92" i="12"/>
  <c r="E92" i="12" s="1"/>
  <c r="B93" i="12" s="1"/>
  <c r="C93" i="12" s="1"/>
  <c r="T17" i="2" l="1"/>
  <c r="U17" i="2" s="1"/>
  <c r="R18" i="2" s="1"/>
  <c r="T18" i="2" s="1"/>
  <c r="D93" i="12"/>
  <c r="E93" i="12" s="1"/>
  <c r="B94" i="12" s="1"/>
  <c r="R142" i="1"/>
  <c r="D94" i="12" l="1"/>
  <c r="C94" i="12"/>
  <c r="S18" i="2"/>
  <c r="U18" i="2" s="1"/>
  <c r="R19" i="2" s="1"/>
  <c r="T19" i="2" s="1"/>
  <c r="D12" i="1"/>
  <c r="F51" i="9"/>
  <c r="N142" i="1"/>
  <c r="C72" i="2"/>
  <c r="C73" i="2"/>
  <c r="C74" i="2"/>
  <c r="C75" i="2"/>
  <c r="J75" i="2" s="1"/>
  <c r="C76" i="2"/>
  <c r="C77" i="2"/>
  <c r="C78" i="2"/>
  <c r="J78" i="2" s="1"/>
  <c r="C79" i="2"/>
  <c r="J79" i="2" s="1"/>
  <c r="C80" i="2"/>
  <c r="C81" i="2"/>
  <c r="J81" i="2" s="1"/>
  <c r="C82" i="2"/>
  <c r="J82" i="2" s="1"/>
  <c r="C83" i="2"/>
  <c r="J83" i="2" s="1"/>
  <c r="C84" i="2"/>
  <c r="J84" i="2" s="1"/>
  <c r="C85" i="2"/>
  <c r="J85" i="2" s="1"/>
  <c r="C86" i="2"/>
  <c r="J86" i="2" s="1"/>
  <c r="C87" i="2"/>
  <c r="J87" i="2" s="1"/>
  <c r="C88" i="2"/>
  <c r="J88" i="2" s="1"/>
  <c r="C89" i="2"/>
  <c r="J89" i="2" s="1"/>
  <c r="C90" i="2"/>
  <c r="J90" i="2" s="1"/>
  <c r="C91" i="2"/>
  <c r="J91" i="2" s="1"/>
  <c r="C92" i="2"/>
  <c r="J92" i="2" s="1"/>
  <c r="C93" i="2"/>
  <c r="J93" i="2" s="1"/>
  <c r="C94" i="2"/>
  <c r="J94" i="2" s="1"/>
  <c r="C95" i="2"/>
  <c r="J95" i="2" s="1"/>
  <c r="D72" i="2"/>
  <c r="D73" i="2"/>
  <c r="D74" i="2"/>
  <c r="D75" i="2"/>
  <c r="D76" i="2"/>
  <c r="D77" i="2"/>
  <c r="D78" i="2"/>
  <c r="D79" i="2"/>
  <c r="D80" i="2"/>
  <c r="D81" i="2"/>
  <c r="D82" i="2"/>
  <c r="D83" i="2"/>
  <c r="D84" i="2"/>
  <c r="D85" i="2"/>
  <c r="D86" i="2"/>
  <c r="D87" i="2"/>
  <c r="D88" i="2"/>
  <c r="D89" i="2"/>
  <c r="D90" i="2"/>
  <c r="D91" i="2"/>
  <c r="D92" i="2"/>
  <c r="D93" i="2"/>
  <c r="D94" i="2"/>
  <c r="D95" i="2"/>
  <c r="E72" i="2"/>
  <c r="E73" i="2"/>
  <c r="E74" i="2"/>
  <c r="E75" i="2"/>
  <c r="E76" i="2"/>
  <c r="E77" i="2"/>
  <c r="E78" i="2"/>
  <c r="E79" i="2"/>
  <c r="E80" i="2"/>
  <c r="E81" i="2"/>
  <c r="E82" i="2"/>
  <c r="E83" i="2"/>
  <c r="E84" i="2"/>
  <c r="E85" i="2"/>
  <c r="E86" i="2"/>
  <c r="E87" i="2"/>
  <c r="E88" i="2"/>
  <c r="E89" i="2"/>
  <c r="E90" i="2"/>
  <c r="E91" i="2"/>
  <c r="E92" i="2"/>
  <c r="E93" i="2"/>
  <c r="E94" i="2"/>
  <c r="E95" i="2"/>
  <c r="F72" i="2"/>
  <c r="F73" i="2"/>
  <c r="F74" i="2"/>
  <c r="F75" i="2"/>
  <c r="F76" i="2"/>
  <c r="F77" i="2"/>
  <c r="F78" i="2"/>
  <c r="F79" i="2"/>
  <c r="F80" i="2"/>
  <c r="F81" i="2"/>
  <c r="F82" i="2"/>
  <c r="F83" i="2"/>
  <c r="F84" i="2"/>
  <c r="F85" i="2"/>
  <c r="F86" i="2"/>
  <c r="F87" i="2"/>
  <c r="F88" i="2"/>
  <c r="F89" i="2"/>
  <c r="F90" i="2"/>
  <c r="F91" i="2"/>
  <c r="F92" i="2"/>
  <c r="F93" i="2"/>
  <c r="F94" i="2"/>
  <c r="F95" i="2"/>
  <c r="G72" i="2"/>
  <c r="G73" i="2"/>
  <c r="G74" i="2"/>
  <c r="G75" i="2"/>
  <c r="G76" i="2"/>
  <c r="G77" i="2"/>
  <c r="G78" i="2"/>
  <c r="G79" i="2"/>
  <c r="G80" i="2"/>
  <c r="G81" i="2"/>
  <c r="G82" i="2"/>
  <c r="G83" i="2"/>
  <c r="G84" i="2"/>
  <c r="G85" i="2"/>
  <c r="G86" i="2"/>
  <c r="G87" i="2"/>
  <c r="G88" i="2"/>
  <c r="G89" i="2"/>
  <c r="G90" i="2"/>
  <c r="G91" i="2"/>
  <c r="G92" i="2"/>
  <c r="G93" i="2"/>
  <c r="G94" i="2"/>
  <c r="G95" i="2"/>
  <c r="I72" i="2"/>
  <c r="I73" i="2"/>
  <c r="I74" i="2"/>
  <c r="N74" i="2" s="1"/>
  <c r="I75" i="2"/>
  <c r="N75" i="2" s="1"/>
  <c r="I76" i="2"/>
  <c r="I77" i="2"/>
  <c r="I78" i="2"/>
  <c r="N78" i="2" s="1"/>
  <c r="I79" i="2"/>
  <c r="N79" i="2" s="1"/>
  <c r="I80" i="2"/>
  <c r="I81" i="2"/>
  <c r="I82" i="2"/>
  <c r="I83" i="2"/>
  <c r="I84" i="2"/>
  <c r="I85" i="2"/>
  <c r="I86" i="2"/>
  <c r="I87" i="2"/>
  <c r="N87" i="2" s="1"/>
  <c r="I88" i="2"/>
  <c r="I89" i="2"/>
  <c r="I90" i="2"/>
  <c r="N90" i="2" s="1"/>
  <c r="I91" i="2"/>
  <c r="N91" i="2" s="1"/>
  <c r="I92" i="2"/>
  <c r="N92" i="2" s="1"/>
  <c r="I93" i="2"/>
  <c r="I94" i="2"/>
  <c r="N94" i="2" s="1"/>
  <c r="I95" i="2"/>
  <c r="I71" i="2"/>
  <c r="G71" i="2"/>
  <c r="F71" i="2"/>
  <c r="E71" i="2"/>
  <c r="D71" i="2"/>
  <c r="C71" i="2"/>
  <c r="J71" i="2" s="1"/>
  <c r="K71" i="2" s="1"/>
  <c r="D68" i="2"/>
  <c r="D67" i="2"/>
  <c r="D66" i="2"/>
  <c r="D65" i="2"/>
  <c r="D64" i="2"/>
  <c r="Y8" i="4"/>
  <c r="Y7" i="4"/>
  <c r="C4" i="2"/>
  <c r="D4" i="2"/>
  <c r="E4" i="2"/>
  <c r="F4" i="2"/>
  <c r="C5" i="2"/>
  <c r="D5" i="2"/>
  <c r="E5" i="2"/>
  <c r="F5" i="2"/>
  <c r="C6" i="2"/>
  <c r="D6" i="2"/>
  <c r="E6" i="2"/>
  <c r="F6" i="2"/>
  <c r="C7" i="2"/>
  <c r="D7" i="2"/>
  <c r="E7" i="2"/>
  <c r="F7" i="2"/>
  <c r="C8" i="2"/>
  <c r="D8" i="2"/>
  <c r="E8" i="2"/>
  <c r="F8" i="2"/>
  <c r="C9" i="2"/>
  <c r="D9" i="2"/>
  <c r="E9" i="2"/>
  <c r="F9" i="2"/>
  <c r="C10" i="2"/>
  <c r="D10" i="2"/>
  <c r="E10" i="2"/>
  <c r="F10" i="2"/>
  <c r="C11" i="2"/>
  <c r="D11" i="2"/>
  <c r="E11" i="2"/>
  <c r="F11" i="2"/>
  <c r="C12" i="2"/>
  <c r="D12" i="2"/>
  <c r="E12" i="2"/>
  <c r="F12" i="2"/>
  <c r="C13" i="2"/>
  <c r="D13" i="2"/>
  <c r="E13" i="2"/>
  <c r="F13" i="2"/>
  <c r="C14" i="2"/>
  <c r="D14" i="2"/>
  <c r="E14" i="2"/>
  <c r="F14" i="2"/>
  <c r="C15" i="2"/>
  <c r="D15" i="2"/>
  <c r="E15" i="2"/>
  <c r="F15" i="2"/>
  <c r="C16" i="2"/>
  <c r="D16" i="2"/>
  <c r="E16" i="2"/>
  <c r="F16" i="2"/>
  <c r="C17" i="2"/>
  <c r="D17" i="2"/>
  <c r="E17" i="2"/>
  <c r="F17" i="2"/>
  <c r="C18" i="2"/>
  <c r="D18" i="2"/>
  <c r="E18" i="2"/>
  <c r="F18" i="2"/>
  <c r="C19" i="2"/>
  <c r="E19" i="2"/>
  <c r="F19" i="2"/>
  <c r="C20" i="2"/>
  <c r="E20" i="2"/>
  <c r="F20" i="2"/>
  <c r="C21" i="2"/>
  <c r="E21" i="2"/>
  <c r="F21" i="2"/>
  <c r="C22" i="2"/>
  <c r="E22" i="2"/>
  <c r="F22" i="2"/>
  <c r="C23" i="2"/>
  <c r="E23" i="2"/>
  <c r="F23" i="2"/>
  <c r="B19" i="2"/>
  <c r="R27" i="2" s="1"/>
  <c r="A118" i="2" s="1"/>
  <c r="B118" i="2" s="1"/>
  <c r="B20" i="2"/>
  <c r="B44" i="2" s="1"/>
  <c r="B21" i="2"/>
  <c r="B45" i="2" s="1"/>
  <c r="B22" i="2"/>
  <c r="B23" i="2"/>
  <c r="B5" i="2"/>
  <c r="B6" i="2"/>
  <c r="B7" i="2"/>
  <c r="G7" i="2" s="1"/>
  <c r="B8" i="2"/>
  <c r="G8" i="2" s="1"/>
  <c r="B9" i="2"/>
  <c r="G9" i="2" s="1"/>
  <c r="B10" i="2"/>
  <c r="G10" i="2" s="1"/>
  <c r="B11" i="2"/>
  <c r="G11" i="2" s="1"/>
  <c r="B12" i="2"/>
  <c r="G12" i="2" s="1"/>
  <c r="B13" i="2"/>
  <c r="G13" i="2" s="1"/>
  <c r="B14" i="2"/>
  <c r="G14" i="2" s="1"/>
  <c r="B15" i="2"/>
  <c r="G15" i="2" s="1"/>
  <c r="B16" i="2"/>
  <c r="G16" i="2" s="1"/>
  <c r="B17" i="2"/>
  <c r="G17" i="2" s="1"/>
  <c r="B18" i="2"/>
  <c r="G18" i="2" s="1"/>
  <c r="B4" i="2"/>
  <c r="N85" i="2" l="1"/>
  <c r="N84" i="2"/>
  <c r="E94" i="12"/>
  <c r="B95" i="12" s="1"/>
  <c r="C95" i="12" s="1"/>
  <c r="C96" i="12" s="1"/>
  <c r="N83" i="2"/>
  <c r="N93" i="2"/>
  <c r="N76" i="2"/>
  <c r="N88" i="2"/>
  <c r="N80" i="2"/>
  <c r="N82" i="2"/>
  <c r="N86" i="2"/>
  <c r="S19" i="2"/>
  <c r="U19" i="2" s="1"/>
  <c r="R20" i="2" s="1"/>
  <c r="N71" i="2"/>
  <c r="G6" i="2"/>
  <c r="H18" i="2"/>
  <c r="H17" i="2"/>
  <c r="H16" i="2"/>
  <c r="H15" i="2"/>
  <c r="H14" i="2"/>
  <c r="H13" i="2"/>
  <c r="H12" i="2"/>
  <c r="H11" i="2"/>
  <c r="H10" i="2"/>
  <c r="H9" i="2"/>
  <c r="H8" i="2"/>
  <c r="H7" i="2"/>
  <c r="G4" i="2"/>
  <c r="G24" i="2" s="1"/>
  <c r="H5" i="2"/>
  <c r="H6" i="2"/>
  <c r="V4" i="2" s="1"/>
  <c r="G5" i="2"/>
  <c r="H4" i="2"/>
  <c r="J74" i="2"/>
  <c r="K74" i="2" s="1"/>
  <c r="B28" i="2"/>
  <c r="N27" i="2"/>
  <c r="A114" i="2" s="1"/>
  <c r="B114" i="2" s="1"/>
  <c r="B31" i="2"/>
  <c r="B40" i="2"/>
  <c r="J27" i="2"/>
  <c r="A110" i="2" s="1"/>
  <c r="B110" i="2" s="1"/>
  <c r="B41" i="2"/>
  <c r="B37" i="2"/>
  <c r="B33" i="2"/>
  <c r="N73" i="2"/>
  <c r="N72" i="2"/>
  <c r="N95" i="2"/>
  <c r="N81" i="2"/>
  <c r="N89" i="2"/>
  <c r="N77" i="2"/>
  <c r="B29" i="2"/>
  <c r="H74" i="2"/>
  <c r="K88" i="2"/>
  <c r="H84" i="2"/>
  <c r="K84" i="2"/>
  <c r="F151" i="1"/>
  <c r="T4" i="2"/>
  <c r="U4" i="2"/>
  <c r="H71" i="2"/>
  <c r="C55" i="9"/>
  <c r="L92" i="2"/>
  <c r="L80" i="2"/>
  <c r="L76" i="2"/>
  <c r="L88" i="2"/>
  <c r="H76" i="2"/>
  <c r="L95" i="2"/>
  <c r="L91" i="2"/>
  <c r="L87" i="2"/>
  <c r="L83" i="2"/>
  <c r="L79" i="2"/>
  <c r="L75" i="2"/>
  <c r="L84" i="2"/>
  <c r="H95" i="2"/>
  <c r="H91" i="2"/>
  <c r="H87" i="2"/>
  <c r="H83" i="2"/>
  <c r="H79" i="2"/>
  <c r="H75" i="2"/>
  <c r="H88" i="2"/>
  <c r="H80" i="2"/>
  <c r="L94" i="2"/>
  <c r="L90" i="2"/>
  <c r="L86" i="2"/>
  <c r="L82" i="2"/>
  <c r="L78" i="2"/>
  <c r="K92" i="2"/>
  <c r="H94" i="2"/>
  <c r="H90" i="2"/>
  <c r="H86" i="2"/>
  <c r="H82" i="2"/>
  <c r="H78" i="2"/>
  <c r="H92" i="2"/>
  <c r="H72" i="2"/>
  <c r="L93" i="2"/>
  <c r="L89" i="2"/>
  <c r="L85" i="2"/>
  <c r="L81" i="2"/>
  <c r="L77" i="2"/>
  <c r="H93" i="2"/>
  <c r="H89" i="2"/>
  <c r="H85" i="2"/>
  <c r="H81" i="2"/>
  <c r="H77" i="2"/>
  <c r="H73" i="2"/>
  <c r="L74" i="2"/>
  <c r="K95" i="2"/>
  <c r="K91" i="2"/>
  <c r="K87" i="2"/>
  <c r="K83" i="2"/>
  <c r="K79" i="2"/>
  <c r="K75" i="2"/>
  <c r="K94" i="2"/>
  <c r="K90" i="2"/>
  <c r="K86" i="2"/>
  <c r="K82" i="2"/>
  <c r="K78" i="2"/>
  <c r="K93" i="2"/>
  <c r="K89" i="2"/>
  <c r="K85" i="2"/>
  <c r="K81" i="2"/>
  <c r="D27" i="2"/>
  <c r="A104" i="2" s="1"/>
  <c r="B104" i="2" s="1"/>
  <c r="L27" i="2"/>
  <c r="A112" i="2" s="1"/>
  <c r="B112" i="2" s="1"/>
  <c r="H27" i="2"/>
  <c r="A108" i="2" s="1"/>
  <c r="B108" i="2" s="1"/>
  <c r="F27" i="2"/>
  <c r="A106" i="2" s="1"/>
  <c r="B106" i="2" s="1"/>
  <c r="B35" i="2"/>
  <c r="R26" i="2"/>
  <c r="B42" i="2"/>
  <c r="Q27" i="2"/>
  <c r="A117" i="2" s="1"/>
  <c r="B117" i="2" s="1"/>
  <c r="B34" i="2"/>
  <c r="I27" i="2"/>
  <c r="A109" i="2" s="1"/>
  <c r="B109" i="2" s="1"/>
  <c r="B36" i="2"/>
  <c r="K27" i="2"/>
  <c r="A111" i="2" s="1"/>
  <c r="B111" i="2" s="1"/>
  <c r="B32" i="2"/>
  <c r="G27" i="2"/>
  <c r="A107" i="2" s="1"/>
  <c r="B107" i="2" s="1"/>
  <c r="V27" i="2"/>
  <c r="A122" i="2" s="1"/>
  <c r="B122" i="2" s="1"/>
  <c r="B47" i="2"/>
  <c r="T27" i="2"/>
  <c r="A120" i="2" s="1"/>
  <c r="B120" i="2" s="1"/>
  <c r="B38" i="2"/>
  <c r="M27" i="2"/>
  <c r="A113" i="2" s="1"/>
  <c r="B113" i="2" s="1"/>
  <c r="B30" i="2"/>
  <c r="E27" i="2"/>
  <c r="O27" i="2"/>
  <c r="A115" i="2" s="1"/>
  <c r="B115" i="2" s="1"/>
  <c r="B43" i="2"/>
  <c r="B46" i="2"/>
  <c r="U27" i="2"/>
  <c r="A121" i="2" s="1"/>
  <c r="B121" i="2" s="1"/>
  <c r="B39" i="2"/>
  <c r="S27" i="2"/>
  <c r="A119" i="2" s="1"/>
  <c r="B119" i="2" s="1"/>
  <c r="P27" i="2"/>
  <c r="A116" i="2" s="1"/>
  <c r="B116" i="2" s="1"/>
  <c r="C27" i="2"/>
  <c r="D95" i="12" l="1"/>
  <c r="E95" i="12" s="1"/>
  <c r="S20" i="2"/>
  <c r="T20" i="2"/>
  <c r="F55" i="12"/>
  <c r="J55" i="12"/>
  <c r="J56" i="12" s="1"/>
  <c r="N55" i="12"/>
  <c r="N56" i="12" s="1"/>
  <c r="R55" i="12"/>
  <c r="R56" i="12" s="1"/>
  <c r="V55" i="12"/>
  <c r="V56" i="12" s="1"/>
  <c r="L55" i="12"/>
  <c r="L56" i="12" s="1"/>
  <c r="P55" i="12"/>
  <c r="P56" i="12" s="1"/>
  <c r="T55" i="12"/>
  <c r="T56" i="12" s="1"/>
  <c r="X55" i="12"/>
  <c r="X56" i="12" s="1"/>
  <c r="G55" i="12"/>
  <c r="K55" i="12"/>
  <c r="K56" i="12" s="1"/>
  <c r="O55" i="12"/>
  <c r="O56" i="12" s="1"/>
  <c r="S55" i="12"/>
  <c r="S56" i="12" s="1"/>
  <c r="W55" i="12"/>
  <c r="W56" i="12" s="1"/>
  <c r="I55" i="12"/>
  <c r="M55" i="12"/>
  <c r="M56" i="12" s="1"/>
  <c r="Q55" i="12"/>
  <c r="Q56" i="12" s="1"/>
  <c r="U55" i="12"/>
  <c r="U56" i="12" s="1"/>
  <c r="E55" i="12"/>
  <c r="E56" i="12" s="1"/>
  <c r="E57" i="12" s="1"/>
  <c r="H55" i="12"/>
  <c r="M91" i="2"/>
  <c r="E117" i="9" s="1"/>
  <c r="M75" i="2"/>
  <c r="E101" i="9" s="1"/>
  <c r="M86" i="2"/>
  <c r="E112" i="9" s="1"/>
  <c r="M79" i="2"/>
  <c r="E105" i="9" s="1"/>
  <c r="M95" i="2"/>
  <c r="M87" i="2"/>
  <c r="E113" i="9" s="1"/>
  <c r="M89" i="2"/>
  <c r="E115" i="9" s="1"/>
  <c r="M83" i="2"/>
  <c r="E109" i="9" s="1"/>
  <c r="M85" i="2"/>
  <c r="E111" i="9" s="1"/>
  <c r="M82" i="2"/>
  <c r="E108" i="9" s="1"/>
  <c r="M90" i="2"/>
  <c r="E116" i="9" s="1"/>
  <c r="M88" i="2"/>
  <c r="E114" i="9" s="1"/>
  <c r="M93" i="2"/>
  <c r="M92" i="2"/>
  <c r="M81" i="2"/>
  <c r="E107" i="9" s="1"/>
  <c r="M78" i="2"/>
  <c r="E104" i="9" s="1"/>
  <c r="M94" i="2"/>
  <c r="M74" i="2"/>
  <c r="E100" i="9" s="1"/>
  <c r="M84" i="2"/>
  <c r="E110" i="9" s="1"/>
  <c r="A103" i="2"/>
  <c r="B103" i="2" s="1"/>
  <c r="N26" i="2"/>
  <c r="J26" i="2"/>
  <c r="E26" i="2"/>
  <c r="A105" i="2"/>
  <c r="B105" i="2" s="1"/>
  <c r="N96" i="2"/>
  <c r="I6" i="2"/>
  <c r="I15" i="2"/>
  <c r="J41" i="2"/>
  <c r="I17" i="2"/>
  <c r="D19" i="2"/>
  <c r="I19" i="2"/>
  <c r="N45" i="2"/>
  <c r="D21" i="2"/>
  <c r="I21" i="2"/>
  <c r="D23" i="2"/>
  <c r="I23" i="2"/>
  <c r="I8" i="2"/>
  <c r="I10" i="2"/>
  <c r="I12" i="2"/>
  <c r="I14" i="2"/>
  <c r="I18" i="2"/>
  <c r="J44" i="2"/>
  <c r="D20" i="2"/>
  <c r="I20" i="2"/>
  <c r="D22" i="2"/>
  <c r="I22" i="2"/>
  <c r="N40" i="2"/>
  <c r="I16" i="2"/>
  <c r="J31" i="2"/>
  <c r="I7" i="2"/>
  <c r="R33" i="2"/>
  <c r="I9" i="2"/>
  <c r="I11" i="2"/>
  <c r="N37" i="2"/>
  <c r="I13" i="2"/>
  <c r="I4" i="2"/>
  <c r="N29" i="2"/>
  <c r="I5" i="2"/>
  <c r="S4" i="2"/>
  <c r="R28" i="2"/>
  <c r="R4" i="2"/>
  <c r="J37" i="2"/>
  <c r="J45" i="2"/>
  <c r="D44" i="2"/>
  <c r="C40" i="2"/>
  <c r="T33" i="2"/>
  <c r="G28" i="2"/>
  <c r="J40" i="2"/>
  <c r="H40" i="2"/>
  <c r="I40" i="2"/>
  <c r="J28" i="2"/>
  <c r="J33" i="2"/>
  <c r="R29" i="2"/>
  <c r="N31" i="2"/>
  <c r="Q31" i="2"/>
  <c r="N33" i="2"/>
  <c r="S28" i="2"/>
  <c r="N28" i="2"/>
  <c r="R31" i="2"/>
  <c r="V31" i="2"/>
  <c r="J29" i="2"/>
  <c r="F29" i="2"/>
  <c r="K31" i="2"/>
  <c r="L31" i="2"/>
  <c r="D35" i="2"/>
  <c r="D31" i="2"/>
  <c r="P35" i="2"/>
  <c r="D33" i="2"/>
  <c r="R35" i="2"/>
  <c r="Q33" i="2"/>
  <c r="F28" i="2"/>
  <c r="K41" i="2"/>
  <c r="L28" i="2"/>
  <c r="K29" i="2"/>
  <c r="I41" i="2"/>
  <c r="F37" i="2"/>
  <c r="Q28" i="2"/>
  <c r="F45" i="2"/>
  <c r="Q44" i="2"/>
  <c r="F31" i="2"/>
  <c r="F44" i="2"/>
  <c r="Q29" i="2"/>
  <c r="F41" i="2"/>
  <c r="F26" i="2"/>
  <c r="F33" i="2"/>
  <c r="L33" i="2"/>
  <c r="I44" i="2"/>
  <c r="L29" i="2"/>
  <c r="L26" i="2"/>
  <c r="I29" i="2"/>
  <c r="N35" i="2"/>
  <c r="K37" i="2"/>
  <c r="K28" i="2"/>
  <c r="I31" i="2"/>
  <c r="F40" i="2"/>
  <c r="E44" i="2"/>
  <c r="E37" i="2"/>
  <c r="E33" i="2"/>
  <c r="H45" i="2"/>
  <c r="E29" i="2"/>
  <c r="V44" i="2"/>
  <c r="V28" i="2"/>
  <c r="V37" i="2"/>
  <c r="H26" i="2"/>
  <c r="T45" i="2"/>
  <c r="V40" i="2"/>
  <c r="H33" i="2"/>
  <c r="H44" i="2"/>
  <c r="H29" i="2"/>
  <c r="C33" i="2"/>
  <c r="V33" i="2"/>
  <c r="H28" i="2"/>
  <c r="H31" i="2"/>
  <c r="H37" i="2"/>
  <c r="V41" i="2"/>
  <c r="H41" i="2"/>
  <c r="V45" i="2"/>
  <c r="T41" i="2"/>
  <c r="D41" i="2"/>
  <c r="Q37" i="2"/>
  <c r="T28" i="2"/>
  <c r="D37" i="2"/>
  <c r="O45" i="2"/>
  <c r="M45" i="2"/>
  <c r="Q35" i="2"/>
  <c r="I35" i="2"/>
  <c r="E40" i="2"/>
  <c r="L45" i="2"/>
  <c r="D29" i="2"/>
  <c r="S29" i="2"/>
  <c r="T29" i="2"/>
  <c r="R37" i="2"/>
  <c r="U40" i="2"/>
  <c r="E28" i="2"/>
  <c r="P28" i="2"/>
  <c r="D45" i="2"/>
  <c r="D26" i="2"/>
  <c r="T31" i="2"/>
  <c r="V35" i="2"/>
  <c r="H35" i="2"/>
  <c r="K35" i="2"/>
  <c r="D40" i="2"/>
  <c r="J35" i="2"/>
  <c r="C35" i="2"/>
  <c r="I33" i="2"/>
  <c r="O37" i="2"/>
  <c r="L44" i="2"/>
  <c r="F35" i="2"/>
  <c r="T35" i="2"/>
  <c r="L35" i="2"/>
  <c r="S45" i="2"/>
  <c r="I34" i="2"/>
  <c r="D43" i="2"/>
  <c r="H43" i="2"/>
  <c r="L43" i="2"/>
  <c r="P43" i="2"/>
  <c r="T43" i="2"/>
  <c r="E43" i="2"/>
  <c r="I43" i="2"/>
  <c r="M43" i="2"/>
  <c r="Q43" i="2"/>
  <c r="U43" i="2"/>
  <c r="K43" i="2"/>
  <c r="S43" i="2"/>
  <c r="C43" i="2"/>
  <c r="F43" i="2"/>
  <c r="N43" i="2"/>
  <c r="V43" i="2"/>
  <c r="G43" i="2"/>
  <c r="O43" i="2"/>
  <c r="J43" i="2"/>
  <c r="R43" i="2"/>
  <c r="M35" i="2"/>
  <c r="G26" i="2"/>
  <c r="G44" i="2"/>
  <c r="D42" i="2"/>
  <c r="G42" i="2"/>
  <c r="K42" i="2"/>
  <c r="O42" i="2"/>
  <c r="S42" i="2"/>
  <c r="H42" i="2"/>
  <c r="L42" i="2"/>
  <c r="P42" i="2"/>
  <c r="T42" i="2"/>
  <c r="F42" i="2"/>
  <c r="N42" i="2"/>
  <c r="V42" i="2"/>
  <c r="I42" i="2"/>
  <c r="Q42" i="2"/>
  <c r="J42" i="2"/>
  <c r="R42" i="2"/>
  <c r="C42" i="2"/>
  <c r="E42" i="2"/>
  <c r="M42" i="2"/>
  <c r="U42" i="2"/>
  <c r="P37" i="2"/>
  <c r="P44" i="2"/>
  <c r="R44" i="2"/>
  <c r="U44" i="2"/>
  <c r="M29" i="2"/>
  <c r="P33" i="2"/>
  <c r="U33" i="2"/>
  <c r="M37" i="2"/>
  <c r="L37" i="2"/>
  <c r="Q41" i="2"/>
  <c r="P41" i="2"/>
  <c r="O41" i="2"/>
  <c r="T44" i="2"/>
  <c r="G46" i="2"/>
  <c r="D46" i="2"/>
  <c r="H46" i="2"/>
  <c r="L46" i="2"/>
  <c r="P46" i="2"/>
  <c r="T46" i="2"/>
  <c r="J46" i="2"/>
  <c r="O46" i="2"/>
  <c r="U46" i="2"/>
  <c r="F46" i="2"/>
  <c r="M46" i="2"/>
  <c r="R46" i="2"/>
  <c r="C46" i="2"/>
  <c r="N46" i="2"/>
  <c r="E46" i="2"/>
  <c r="Q46" i="2"/>
  <c r="I46" i="2"/>
  <c r="S46" i="2"/>
  <c r="K46" i="2"/>
  <c r="V46" i="2"/>
  <c r="D28" i="2"/>
  <c r="C31" i="2"/>
  <c r="D38" i="2"/>
  <c r="H38" i="2"/>
  <c r="L38" i="2"/>
  <c r="P38" i="2"/>
  <c r="T38" i="2"/>
  <c r="I38" i="2"/>
  <c r="N38" i="2"/>
  <c r="S38" i="2"/>
  <c r="E38" i="2"/>
  <c r="J38" i="2"/>
  <c r="O38" i="2"/>
  <c r="U38" i="2"/>
  <c r="G38" i="2"/>
  <c r="R38" i="2"/>
  <c r="C38" i="2"/>
  <c r="K38" i="2"/>
  <c r="V38" i="2"/>
  <c r="M38" i="2"/>
  <c r="F38" i="2"/>
  <c r="Q38" i="2"/>
  <c r="E31" i="2"/>
  <c r="G31" i="2"/>
  <c r="G35" i="2"/>
  <c r="E35" i="2"/>
  <c r="D32" i="2"/>
  <c r="H32" i="2"/>
  <c r="L32" i="2"/>
  <c r="P32" i="2"/>
  <c r="T32" i="2"/>
  <c r="G32" i="2"/>
  <c r="K32" i="2"/>
  <c r="O32" i="2"/>
  <c r="S32" i="2"/>
  <c r="I32" i="2"/>
  <c r="Q32" i="2"/>
  <c r="J32" i="2"/>
  <c r="R32" i="2"/>
  <c r="N32" i="2"/>
  <c r="N48" i="2" s="1"/>
  <c r="N53" i="2" s="1"/>
  <c r="C32" i="2"/>
  <c r="E32" i="2"/>
  <c r="U32" i="2"/>
  <c r="F32" i="2"/>
  <c r="V32" i="2"/>
  <c r="M32" i="2"/>
  <c r="Q40" i="2"/>
  <c r="L40" i="2"/>
  <c r="R45" i="2"/>
  <c r="I26" i="2"/>
  <c r="I37" i="2"/>
  <c r="I28" i="2"/>
  <c r="R41" i="2"/>
  <c r="U41" i="2"/>
  <c r="U26" i="2"/>
  <c r="O26" i="2"/>
  <c r="O44" i="2"/>
  <c r="M26" i="2"/>
  <c r="M41" i="2"/>
  <c r="G29" i="2"/>
  <c r="C26" i="2"/>
  <c r="C44" i="2"/>
  <c r="C29" i="2"/>
  <c r="N44" i="2"/>
  <c r="G33" i="2"/>
  <c r="G37" i="2"/>
  <c r="L41" i="2"/>
  <c r="U37" i="2"/>
  <c r="S26" i="2"/>
  <c r="S33" i="2"/>
  <c r="S44" i="2"/>
  <c r="C28" i="2"/>
  <c r="U28" i="2"/>
  <c r="O28" i="2"/>
  <c r="O48" i="2" s="1"/>
  <c r="O53" i="2" s="1"/>
  <c r="O29" i="2"/>
  <c r="S31" i="2"/>
  <c r="P45" i="2"/>
  <c r="S35" i="2"/>
  <c r="U35" i="2"/>
  <c r="E47" i="2"/>
  <c r="I47" i="2"/>
  <c r="M47" i="2"/>
  <c r="Q47" i="2"/>
  <c r="U47" i="2"/>
  <c r="G47" i="2"/>
  <c r="L47" i="2"/>
  <c r="R47" i="2"/>
  <c r="D47" i="2"/>
  <c r="J47" i="2"/>
  <c r="O47" i="2"/>
  <c r="T47" i="2"/>
  <c r="F47" i="2"/>
  <c r="P47" i="2"/>
  <c r="H47" i="2"/>
  <c r="S47" i="2"/>
  <c r="K47" i="2"/>
  <c r="V47" i="2"/>
  <c r="C47" i="2"/>
  <c r="N47" i="2"/>
  <c r="K26" i="2"/>
  <c r="K44" i="2"/>
  <c r="K33" i="2"/>
  <c r="G40" i="2"/>
  <c r="T40" i="2"/>
  <c r="S40" i="2"/>
  <c r="R40" i="2"/>
  <c r="Q45" i="2"/>
  <c r="E45" i="2"/>
  <c r="K45" i="2"/>
  <c r="G34" i="2"/>
  <c r="L34" i="2"/>
  <c r="P34" i="2"/>
  <c r="T34" i="2"/>
  <c r="F34" i="2"/>
  <c r="K34" i="2"/>
  <c r="O34" i="2"/>
  <c r="S34" i="2"/>
  <c r="D34" i="2"/>
  <c r="M34" i="2"/>
  <c r="U34" i="2"/>
  <c r="E34" i="2"/>
  <c r="N34" i="2"/>
  <c r="V34" i="2"/>
  <c r="J34" i="2"/>
  <c r="Q34" i="2"/>
  <c r="R34" i="2"/>
  <c r="H34" i="2"/>
  <c r="C34" i="2"/>
  <c r="S41" i="2"/>
  <c r="M31" i="2"/>
  <c r="U45" i="2"/>
  <c r="N41" i="2"/>
  <c r="P26" i="2"/>
  <c r="P48" i="2"/>
  <c r="P53" i="2" s="1"/>
  <c r="P31" i="2"/>
  <c r="M44" i="2"/>
  <c r="P29" i="2"/>
  <c r="U29" i="2"/>
  <c r="O33" i="2"/>
  <c r="M33" i="2"/>
  <c r="C37" i="2"/>
  <c r="S37" i="2"/>
  <c r="C41" i="2"/>
  <c r="E41" i="2"/>
  <c r="G41" i="2"/>
  <c r="E39" i="2"/>
  <c r="I39" i="2"/>
  <c r="M39" i="2"/>
  <c r="Q39" i="2"/>
  <c r="U39" i="2"/>
  <c r="F39" i="2"/>
  <c r="K39" i="2"/>
  <c r="P39" i="2"/>
  <c r="V39" i="2"/>
  <c r="G39" i="2"/>
  <c r="L39" i="2"/>
  <c r="R39" i="2"/>
  <c r="J39" i="2"/>
  <c r="T39" i="2"/>
  <c r="N39" i="2"/>
  <c r="D39" i="2"/>
  <c r="O39" i="2"/>
  <c r="H39" i="2"/>
  <c r="S39" i="2"/>
  <c r="C39" i="2"/>
  <c r="M28" i="2"/>
  <c r="F30" i="2"/>
  <c r="J30" i="2"/>
  <c r="N30" i="2"/>
  <c r="R30" i="2"/>
  <c r="V30" i="2"/>
  <c r="E30" i="2"/>
  <c r="I30" i="2"/>
  <c r="M30" i="2"/>
  <c r="Q30" i="2"/>
  <c r="U30" i="2"/>
  <c r="G30" i="2"/>
  <c r="O30" i="2"/>
  <c r="H30" i="2"/>
  <c r="P30" i="2"/>
  <c r="D30" i="2"/>
  <c r="T30" i="2"/>
  <c r="K30" i="2"/>
  <c r="L30" i="2"/>
  <c r="C30" i="2"/>
  <c r="S30" i="2"/>
  <c r="K40" i="2"/>
  <c r="U31" i="2"/>
  <c r="O31" i="2"/>
  <c r="T26" i="2"/>
  <c r="T37" i="2"/>
  <c r="O35" i="2"/>
  <c r="V26" i="2"/>
  <c r="V29" i="2"/>
  <c r="F36" i="2"/>
  <c r="J36" i="2"/>
  <c r="N36" i="2"/>
  <c r="R36" i="2"/>
  <c r="V36" i="2"/>
  <c r="D36" i="2"/>
  <c r="I36" i="2"/>
  <c r="O36" i="2"/>
  <c r="T36" i="2"/>
  <c r="E36" i="2"/>
  <c r="K36" i="2"/>
  <c r="P36" i="2"/>
  <c r="U36" i="2"/>
  <c r="M36" i="2"/>
  <c r="G36" i="2"/>
  <c r="Q36" i="2"/>
  <c r="H36" i="2"/>
  <c r="S36" i="2"/>
  <c r="C36" i="2"/>
  <c r="L36" i="2"/>
  <c r="P40" i="2"/>
  <c r="O40" i="2"/>
  <c r="M40" i="2"/>
  <c r="I45" i="2"/>
  <c r="C45" i="2"/>
  <c r="G45" i="2"/>
  <c r="Q26" i="2"/>
  <c r="G56" i="12" l="1"/>
  <c r="J83" i="12" s="1"/>
  <c r="J85" i="12" s="1"/>
  <c r="J86" i="12" s="1"/>
  <c r="J84" i="1" s="1"/>
  <c r="F56" i="12"/>
  <c r="I83" i="12" s="1"/>
  <c r="I85" i="12" s="1"/>
  <c r="I86" i="12" s="1"/>
  <c r="H84" i="1" s="1"/>
  <c r="H56" i="12"/>
  <c r="K83" i="12" s="1"/>
  <c r="K85" i="12" s="1"/>
  <c r="K86" i="12" s="1"/>
  <c r="L84" i="1" s="1"/>
  <c r="I56" i="12"/>
  <c r="L83" i="12" s="1"/>
  <c r="L85" i="12" s="1"/>
  <c r="L86" i="12" s="1"/>
  <c r="N84" i="1" s="1"/>
  <c r="L87" i="12" s="1"/>
  <c r="L90" i="12" s="1"/>
  <c r="H83" i="12"/>
  <c r="H85" i="12" s="1"/>
  <c r="H86" i="12" s="1"/>
  <c r="S21" i="2"/>
  <c r="U20" i="2"/>
  <c r="N145" i="1"/>
  <c r="C34" i="9"/>
  <c r="G67" i="2"/>
  <c r="G68" i="2"/>
  <c r="G66" i="2"/>
  <c r="N4" i="2" s="1"/>
  <c r="N5" i="2" s="1"/>
  <c r="R48" i="2"/>
  <c r="U48" i="2"/>
  <c r="V48" i="2"/>
  <c r="T48" i="2"/>
  <c r="C103" i="2" a="1"/>
  <c r="C103" i="2" s="1"/>
  <c r="E103" i="2" s="1"/>
  <c r="Q48" i="2"/>
  <c r="S48" i="2"/>
  <c r="M48" i="2"/>
  <c r="E60" i="2"/>
  <c r="I48" i="2"/>
  <c r="I53" i="2" s="1"/>
  <c r="J4" i="2"/>
  <c r="J16" i="2"/>
  <c r="J5" i="2"/>
  <c r="J13" i="2"/>
  <c r="J7" i="2"/>
  <c r="J20" i="2"/>
  <c r="J17" i="2"/>
  <c r="J11" i="2"/>
  <c r="J18" i="2"/>
  <c r="J8" i="2"/>
  <c r="J21" i="2"/>
  <c r="J9" i="2"/>
  <c r="J14" i="2"/>
  <c r="J10" i="2"/>
  <c r="J23" i="2"/>
  <c r="J6" i="2"/>
  <c r="J12" i="2"/>
  <c r="J15" i="2"/>
  <c r="J22" i="2"/>
  <c r="J19" i="2"/>
  <c r="D48" i="2"/>
  <c r="D60" i="2"/>
  <c r="D59" i="2"/>
  <c r="C60" i="2"/>
  <c r="C59" i="2"/>
  <c r="C61" i="2"/>
  <c r="C48" i="2"/>
  <c r="E48" i="2"/>
  <c r="J48" i="2"/>
  <c r="J53" i="2" s="1"/>
  <c r="K48" i="2"/>
  <c r="K53" i="2" s="1"/>
  <c r="H48" i="2"/>
  <c r="H53" i="2" s="1"/>
  <c r="N51" i="2"/>
  <c r="P51" i="2"/>
  <c r="O51" i="2"/>
  <c r="G48" i="2"/>
  <c r="G53" i="2" s="1"/>
  <c r="L48" i="2"/>
  <c r="L53" i="2" s="1"/>
  <c r="F48" i="2"/>
  <c r="F53" i="2" s="1"/>
  <c r="K87" i="12" l="1"/>
  <c r="K90" i="12" s="1"/>
  <c r="C67" i="2"/>
  <c r="E67" i="2" s="1"/>
  <c r="J87" i="12"/>
  <c r="J90" i="12" s="1"/>
  <c r="C66" i="2"/>
  <c r="E66" i="2" s="1"/>
  <c r="F84" i="1"/>
  <c r="H87" i="12" s="1"/>
  <c r="H90" i="12" s="1"/>
  <c r="C65" i="2"/>
  <c r="E65" i="2" s="1"/>
  <c r="I87" i="12"/>
  <c r="I90" i="12" s="1"/>
  <c r="F54" i="9"/>
  <c r="N144" i="1"/>
  <c r="F53" i="9"/>
  <c r="P4" i="2"/>
  <c r="P5" i="2" s="1"/>
  <c r="C68" i="2" s="1"/>
  <c r="E68" i="2" s="1"/>
  <c r="O4" i="2"/>
  <c r="O5" i="2" s="1"/>
  <c r="T51" i="2"/>
  <c r="T53" i="2"/>
  <c r="D51" i="2"/>
  <c r="V51" i="2"/>
  <c r="V53" i="2"/>
  <c r="Q51" i="2"/>
  <c r="Q53" i="2"/>
  <c r="M51" i="2"/>
  <c r="M53" i="2"/>
  <c r="U51" i="2"/>
  <c r="U53" i="2"/>
  <c r="S51" i="2"/>
  <c r="S53" i="2"/>
  <c r="R51" i="2"/>
  <c r="R53" i="2"/>
  <c r="C104" i="2" a="1"/>
  <c r="C104" i="2" s="1"/>
  <c r="C105" i="2" s="1" a="1"/>
  <c r="C105" i="2" s="1"/>
  <c r="G105" i="2" s="1"/>
  <c r="H105" i="2" s="1"/>
  <c r="P75" i="2"/>
  <c r="O75" i="2" s="1"/>
  <c r="P79" i="2"/>
  <c r="O79" i="2" s="1"/>
  <c r="P83" i="2"/>
  <c r="O83" i="2" s="1"/>
  <c r="P87" i="2"/>
  <c r="O87" i="2" s="1"/>
  <c r="P91" i="2"/>
  <c r="O91" i="2" s="1"/>
  <c r="P95" i="2"/>
  <c r="O95" i="2" s="1"/>
  <c r="P76" i="2"/>
  <c r="O76" i="2" s="1"/>
  <c r="P80" i="2"/>
  <c r="O80" i="2" s="1"/>
  <c r="P84" i="2"/>
  <c r="O84" i="2" s="1"/>
  <c r="P88" i="2"/>
  <c r="O88" i="2" s="1"/>
  <c r="P92" i="2"/>
  <c r="O92" i="2" s="1"/>
  <c r="P71" i="2"/>
  <c r="P73" i="2"/>
  <c r="O73" i="2" s="1"/>
  <c r="P77" i="2"/>
  <c r="O77" i="2" s="1"/>
  <c r="P85" i="2"/>
  <c r="O85" i="2" s="1"/>
  <c r="P93" i="2"/>
  <c r="O93" i="2" s="1"/>
  <c r="P74" i="2"/>
  <c r="O74" i="2" s="1"/>
  <c r="P78" i="2"/>
  <c r="O78" i="2" s="1"/>
  <c r="P86" i="2"/>
  <c r="O86" i="2" s="1"/>
  <c r="P94" i="2"/>
  <c r="O94" i="2" s="1"/>
  <c r="P72" i="2"/>
  <c r="O72" i="2" s="1"/>
  <c r="P81" i="2"/>
  <c r="O81" i="2" s="1"/>
  <c r="P89" i="2"/>
  <c r="O89" i="2" s="1"/>
  <c r="P82" i="2"/>
  <c r="O82" i="2" s="1"/>
  <c r="P90" i="2"/>
  <c r="O90" i="2" s="1"/>
  <c r="L72" i="2"/>
  <c r="L73" i="2"/>
  <c r="I51" i="2"/>
  <c r="W48" i="2"/>
  <c r="J51" i="2"/>
  <c r="H51" i="2"/>
  <c r="C51" i="2"/>
  <c r="K51" i="2"/>
  <c r="E51" i="2"/>
  <c r="F51" i="2"/>
  <c r="L51" i="2"/>
  <c r="G51" i="2"/>
  <c r="F101" i="1" l="1"/>
  <c r="H143" i="1"/>
  <c r="G104" i="2"/>
  <c r="H104" i="2" s="1"/>
  <c r="E104" i="2"/>
  <c r="G103" i="2"/>
  <c r="H103" i="2" s="1"/>
  <c r="O71" i="2"/>
  <c r="C106" i="2" a="1"/>
  <c r="C106" i="2" s="1"/>
  <c r="E105" i="2"/>
  <c r="E106" i="2" l="1"/>
  <c r="G106" i="2"/>
  <c r="H106" i="2" s="1"/>
  <c r="C107" i="2" a="1"/>
  <c r="C107" i="2" s="1"/>
  <c r="G107" i="2" s="1"/>
  <c r="H107" i="2" s="1"/>
  <c r="C108" i="2" l="1" a="1"/>
  <c r="C108" i="2" s="1"/>
  <c r="E107" i="2"/>
  <c r="E108" i="2" l="1"/>
  <c r="G108" i="2"/>
  <c r="H108" i="2" s="1"/>
  <c r="C109" i="2" a="1"/>
  <c r="C109" i="2" s="1"/>
  <c r="G109" i="2" s="1"/>
  <c r="H109" i="2" s="1"/>
  <c r="BE7" i="4"/>
  <c r="BE6" i="4"/>
  <c r="BE5" i="4"/>
  <c r="BE4" i="4"/>
  <c r="BF5" i="4"/>
  <c r="BF6" i="4"/>
  <c r="BF7" i="4"/>
  <c r="BF4" i="4"/>
  <c r="C110" i="2" l="1" a="1"/>
  <c r="C110" i="2" s="1"/>
  <c r="G110" i="2" s="1"/>
  <c r="H110" i="2" s="1"/>
  <c r="E109" i="2"/>
  <c r="BG4" i="4"/>
  <c r="BH4" i="4" s="1"/>
  <c r="BI4" i="4" s="1"/>
  <c r="BJ4" i="4" s="1"/>
  <c r="BE8" i="4"/>
  <c r="BE9" i="4" s="1"/>
  <c r="BE10" i="4" s="1"/>
  <c r="BE11" i="4" s="1"/>
  <c r="BE12" i="4" s="1"/>
  <c r="BE13" i="4" s="1"/>
  <c r="BE14" i="4" s="1"/>
  <c r="BE15" i="4" s="1"/>
  <c r="BE16" i="4" s="1"/>
  <c r="BE17" i="4" s="1"/>
  <c r="BE18" i="4" s="1"/>
  <c r="BE19" i="4" s="1"/>
  <c r="BE20" i="4" s="1"/>
  <c r="BE21" i="4" s="1"/>
  <c r="BE22" i="4" s="1"/>
  <c r="BE23" i="4" s="1"/>
  <c r="BE24" i="4" s="1"/>
  <c r="BG5" i="4"/>
  <c r="BH5" i="4" s="1"/>
  <c r="BI5" i="4" s="1"/>
  <c r="BJ5" i="4" s="1"/>
  <c r="BG6" i="4"/>
  <c r="BH6" i="4" s="1"/>
  <c r="BI6" i="4" s="1"/>
  <c r="BJ6" i="4" s="1"/>
  <c r="C111" i="2" l="1" a="1"/>
  <c r="C111" i="2" s="1"/>
  <c r="G111" i="2" s="1"/>
  <c r="H111" i="2" s="1"/>
  <c r="E110" i="2"/>
  <c r="BF8" i="4"/>
  <c r="BG8" i="4" s="1"/>
  <c r="BH8" i="4" s="1"/>
  <c r="BI8" i="4" s="1"/>
  <c r="BJ8" i="4" s="1"/>
  <c r="BG7" i="4"/>
  <c r="BH7" i="4" s="1"/>
  <c r="BI7" i="4" s="1"/>
  <c r="BJ7" i="4" s="1"/>
  <c r="BF9" i="4" l="1"/>
  <c r="BG9" i="4" s="1"/>
  <c r="BH9" i="4" s="1"/>
  <c r="BI9" i="4" s="1"/>
  <c r="C112" i="2" a="1"/>
  <c r="C112" i="2" s="1"/>
  <c r="G112" i="2" s="1"/>
  <c r="H112" i="2" s="1"/>
  <c r="E111" i="2"/>
  <c r="BF10" i="4"/>
  <c r="C113" i="2" l="1" a="1"/>
  <c r="C113" i="2" s="1"/>
  <c r="G113" i="2" s="1"/>
  <c r="H113" i="2" s="1"/>
  <c r="E112" i="2"/>
  <c r="BJ9" i="4"/>
  <c r="BF11" i="4"/>
  <c r="BG10" i="4"/>
  <c r="BH10" i="4" s="1"/>
  <c r="BI10" i="4" s="1"/>
  <c r="BJ10" i="4" s="1"/>
  <c r="C114" i="2" l="1" a="1"/>
  <c r="C114" i="2" s="1"/>
  <c r="G114" i="2" s="1"/>
  <c r="H114" i="2" s="1"/>
  <c r="E113" i="2"/>
  <c r="BF12" i="4"/>
  <c r="BG11" i="4"/>
  <c r="BH11" i="4" s="1"/>
  <c r="BI11" i="4" s="1"/>
  <c r="BJ11" i="4" s="1"/>
  <c r="C115" i="2" l="1" a="1"/>
  <c r="C115" i="2" s="1"/>
  <c r="G115" i="2" s="1"/>
  <c r="H115" i="2" s="1"/>
  <c r="E114" i="2"/>
  <c r="BF13" i="4"/>
  <c r="BG12" i="4"/>
  <c r="BH12" i="4" s="1"/>
  <c r="BI12" i="4" s="1"/>
  <c r="BJ12" i="4" s="1"/>
  <c r="C116" i="2" l="1" a="1"/>
  <c r="C116" i="2" s="1"/>
  <c r="G116" i="2" s="1"/>
  <c r="H116" i="2" s="1"/>
  <c r="E115" i="2"/>
  <c r="BF14" i="4"/>
  <c r="BG13" i="4"/>
  <c r="BH13" i="4" s="1"/>
  <c r="BI13" i="4" s="1"/>
  <c r="BJ13" i="4" s="1"/>
  <c r="C117" i="2" l="1" a="1"/>
  <c r="C117" i="2" s="1"/>
  <c r="G117" i="2" s="1"/>
  <c r="H117" i="2" s="1"/>
  <c r="E116" i="2"/>
  <c r="BF15" i="4"/>
  <c r="BG14" i="4"/>
  <c r="BH14" i="4" s="1"/>
  <c r="BI14" i="4" s="1"/>
  <c r="BJ14" i="4" s="1"/>
  <c r="C118" i="2" l="1" a="1"/>
  <c r="C118" i="2" s="1"/>
  <c r="G118" i="2" s="1"/>
  <c r="H118" i="2" s="1"/>
  <c r="E117" i="2"/>
  <c r="BF16" i="4"/>
  <c r="BG15" i="4"/>
  <c r="BH15" i="4" s="1"/>
  <c r="BI15" i="4" s="1"/>
  <c r="BJ15" i="4" s="1"/>
  <c r="C119" i="2" l="1" a="1"/>
  <c r="C119" i="2" s="1"/>
  <c r="G119" i="2" s="1"/>
  <c r="H119" i="2" s="1"/>
  <c r="E118" i="2"/>
  <c r="BF17" i="4"/>
  <c r="BG16" i="4"/>
  <c r="BH16" i="4" s="1"/>
  <c r="BI16" i="4" s="1"/>
  <c r="BJ16" i="4" s="1"/>
  <c r="C120" i="2" l="1" a="1"/>
  <c r="C120" i="2" s="1"/>
  <c r="G120" i="2" s="1"/>
  <c r="H120" i="2" s="1"/>
  <c r="E119" i="2"/>
  <c r="BF18" i="4"/>
  <c r="BG17" i="4"/>
  <c r="BH17" i="4" s="1"/>
  <c r="BI17" i="4" s="1"/>
  <c r="BJ17" i="4" s="1"/>
  <c r="C121" i="2" l="1" a="1"/>
  <c r="C121" i="2" s="1"/>
  <c r="G121" i="2" s="1"/>
  <c r="H121" i="2" s="1"/>
  <c r="E120" i="2"/>
  <c r="BF19" i="4"/>
  <c r="BG18" i="4"/>
  <c r="BH18" i="4" s="1"/>
  <c r="BI18" i="4" s="1"/>
  <c r="BJ18" i="4" s="1"/>
  <c r="C122" i="2" l="1" a="1"/>
  <c r="C122" i="2" s="1"/>
  <c r="E121" i="2"/>
  <c r="BF20" i="4"/>
  <c r="BG19" i="4"/>
  <c r="BH19" i="4" s="1"/>
  <c r="BI19" i="4" s="1"/>
  <c r="BJ19" i="4" s="1"/>
  <c r="E122" i="2" l="1"/>
  <c r="F103" i="2" s="1"/>
  <c r="G122" i="2"/>
  <c r="H122" i="2" s="1"/>
  <c r="K60" i="2"/>
  <c r="I60" i="2"/>
  <c r="L60" i="2"/>
  <c r="J60" i="2"/>
  <c r="R60" i="2"/>
  <c r="P60" i="2"/>
  <c r="G60" i="2"/>
  <c r="T60" i="2"/>
  <c r="V60" i="2"/>
  <c r="M60" i="2"/>
  <c r="N60" i="2"/>
  <c r="S60" i="2"/>
  <c r="H60" i="2"/>
  <c r="Q60" i="2"/>
  <c r="F60" i="2"/>
  <c r="O60" i="2"/>
  <c r="BF21" i="4"/>
  <c r="BG20" i="4"/>
  <c r="BH20" i="4" s="1"/>
  <c r="BI20" i="4" s="1"/>
  <c r="BJ20" i="4" s="1"/>
  <c r="BF22" i="4" l="1"/>
  <c r="BG21" i="4"/>
  <c r="BH21" i="4" s="1"/>
  <c r="BI21" i="4" s="1"/>
  <c r="BJ21" i="4" s="1"/>
  <c r="BF23" i="4" l="1"/>
  <c r="BG22" i="4"/>
  <c r="BH22" i="4" s="1"/>
  <c r="BI22" i="4" s="1"/>
  <c r="BJ22" i="4" s="1"/>
  <c r="J57" i="12" l="1"/>
  <c r="N57" i="12"/>
  <c r="R57" i="12"/>
  <c r="V57" i="12"/>
  <c r="L57" i="12"/>
  <c r="K57" i="12"/>
  <c r="O57" i="12"/>
  <c r="S57" i="12"/>
  <c r="W57" i="12"/>
  <c r="H57" i="12"/>
  <c r="T57" i="12"/>
  <c r="I57" i="12"/>
  <c r="M57" i="12"/>
  <c r="Q57" i="12"/>
  <c r="U57" i="12"/>
  <c r="P57" i="12"/>
  <c r="X57" i="12"/>
  <c r="I49" i="2"/>
  <c r="V49" i="2"/>
  <c r="P49" i="2"/>
  <c r="H49" i="2"/>
  <c r="R49" i="2"/>
  <c r="J49" i="2"/>
  <c r="F49" i="2"/>
  <c r="O49" i="2"/>
  <c r="D49" i="2"/>
  <c r="D53" i="2" s="1"/>
  <c r="S49" i="2"/>
  <c r="G49" i="2"/>
  <c r="L49" i="2"/>
  <c r="Q49" i="2"/>
  <c r="T49" i="2"/>
  <c r="E49" i="2"/>
  <c r="E53" i="2" s="1"/>
  <c r="G64" i="2" s="1"/>
  <c r="L4" i="2" s="1"/>
  <c r="L5" i="2" s="1"/>
  <c r="C64" i="2" s="1"/>
  <c r="C49" i="2"/>
  <c r="C53" i="2" s="1"/>
  <c r="G65" i="2" s="1"/>
  <c r="N49" i="2"/>
  <c r="U49" i="2"/>
  <c r="K49" i="2"/>
  <c r="M49" i="2"/>
  <c r="BG23" i="4"/>
  <c r="BH23" i="4" s="1"/>
  <c r="BI23" i="4" s="1"/>
  <c r="BJ23" i="4" s="1"/>
  <c r="BF24" i="4"/>
  <c r="BG24" i="4" s="1"/>
  <c r="BH24" i="4" s="1"/>
  <c r="BI24" i="4" s="1"/>
  <c r="BJ24" i="4" s="1"/>
  <c r="G57" i="12" l="1"/>
  <c r="F57" i="12"/>
  <c r="X58" i="12"/>
  <c r="X59" i="12" s="1"/>
  <c r="AG75" i="1" s="1"/>
  <c r="P58" i="12"/>
  <c r="P59" i="12" s="1"/>
  <c r="Y75" i="1" s="1"/>
  <c r="U58" i="12"/>
  <c r="U59" i="12" s="1"/>
  <c r="AD75" i="1" s="1"/>
  <c r="Q58" i="12"/>
  <c r="Q59" i="12" s="1"/>
  <c r="Z75" i="1" s="1"/>
  <c r="M58" i="12"/>
  <c r="M59" i="12" s="1"/>
  <c r="T75" i="1" s="1"/>
  <c r="I58" i="12"/>
  <c r="I59" i="12" s="1"/>
  <c r="L75" i="1" s="1"/>
  <c r="T58" i="12"/>
  <c r="T59" i="12" s="1"/>
  <c r="AC75" i="1" s="1"/>
  <c r="H58" i="12"/>
  <c r="H59" i="12" s="1"/>
  <c r="J75" i="1" s="1"/>
  <c r="W58" i="12"/>
  <c r="W59" i="12" s="1"/>
  <c r="AF75" i="1" s="1"/>
  <c r="S58" i="12"/>
  <c r="S59" i="12" s="1"/>
  <c r="AB75" i="1" s="1"/>
  <c r="O58" i="12"/>
  <c r="O59" i="12" s="1"/>
  <c r="X75" i="1" s="1"/>
  <c r="K58" i="12"/>
  <c r="K59" i="12" s="1"/>
  <c r="P75" i="1" s="1"/>
  <c r="G58" i="12"/>
  <c r="L58" i="12"/>
  <c r="L59" i="12" s="1"/>
  <c r="R75" i="1" s="1"/>
  <c r="V58" i="12"/>
  <c r="V59" i="12" s="1"/>
  <c r="AE75" i="1" s="1"/>
  <c r="R58" i="12"/>
  <c r="R59" i="12" s="1"/>
  <c r="AA75" i="1" s="1"/>
  <c r="N58" i="12"/>
  <c r="N59" i="12" s="1"/>
  <c r="V75" i="1" s="1"/>
  <c r="J58" i="12"/>
  <c r="J59" i="12" s="1"/>
  <c r="N75" i="1" s="1"/>
  <c r="F58" i="12"/>
  <c r="E58" i="12"/>
  <c r="E59" i="12" s="1"/>
  <c r="J72" i="2"/>
  <c r="C54" i="9"/>
  <c r="E64" i="2"/>
  <c r="M4" i="2"/>
  <c r="M5" i="2" s="1"/>
  <c r="J80" i="2"/>
  <c r="K80" i="2" s="1"/>
  <c r="M80" i="2" s="1"/>
  <c r="E106" i="9" s="1"/>
  <c r="J77" i="2"/>
  <c r="K77" i="2" s="1"/>
  <c r="J76" i="2"/>
  <c r="K76" i="2" s="1"/>
  <c r="J73" i="2"/>
  <c r="K73" i="2" s="1"/>
  <c r="E50" i="2"/>
  <c r="E52" i="2" s="1"/>
  <c r="E61" i="2" s="1"/>
  <c r="T50" i="2"/>
  <c r="T52" i="2" s="1"/>
  <c r="F50" i="2"/>
  <c r="F52" i="2" s="1"/>
  <c r="N50" i="2"/>
  <c r="N52" i="2" s="1"/>
  <c r="K50" i="2"/>
  <c r="K52" i="2" s="1"/>
  <c r="H50" i="2"/>
  <c r="H52" i="2" s="1"/>
  <c r="R50" i="2"/>
  <c r="R52" i="2" s="1"/>
  <c r="V50" i="2"/>
  <c r="V52" i="2" s="1"/>
  <c r="S50" i="2"/>
  <c r="S52" i="2" s="1"/>
  <c r="J50" i="2"/>
  <c r="J52" i="2" s="1"/>
  <c r="O50" i="2"/>
  <c r="O52" i="2" s="1"/>
  <c r="M50" i="2"/>
  <c r="M52" i="2" s="1"/>
  <c r="D50" i="2"/>
  <c r="D52" i="2" s="1"/>
  <c r="D61" i="2" s="1"/>
  <c r="I50" i="2"/>
  <c r="I52" i="2" s="1"/>
  <c r="L50" i="2"/>
  <c r="L52" i="2" s="1"/>
  <c r="P50" i="2"/>
  <c r="P52" i="2" s="1"/>
  <c r="G50" i="2"/>
  <c r="G52" i="2" s="1"/>
  <c r="Q50" i="2"/>
  <c r="Q52" i="2" s="1"/>
  <c r="U50" i="2"/>
  <c r="U52" i="2" s="1"/>
  <c r="U60" i="2" s="1"/>
  <c r="W60" i="2" s="1"/>
  <c r="C50" i="2"/>
  <c r="C52" i="2" s="1"/>
  <c r="D75" i="1" l="1"/>
  <c r="F59" i="12"/>
  <c r="F75" i="1" s="1"/>
  <c r="G59" i="12"/>
  <c r="H75" i="1" s="1"/>
  <c r="M76" i="2"/>
  <c r="E102" i="9" s="1"/>
  <c r="M77" i="2"/>
  <c r="E103" i="9" s="1"/>
  <c r="M73" i="2"/>
  <c r="E99" i="9" s="1"/>
  <c r="I61" i="2"/>
  <c r="I59" i="2"/>
  <c r="H61" i="2"/>
  <c r="H59" i="2"/>
  <c r="K61" i="2"/>
  <c r="K59" i="2"/>
  <c r="U61" i="2"/>
  <c r="U59" i="2"/>
  <c r="L61" i="2"/>
  <c r="L59" i="2"/>
  <c r="O61" i="2"/>
  <c r="O59" i="2"/>
  <c r="R61" i="2"/>
  <c r="R59" i="2"/>
  <c r="F61" i="2"/>
  <c r="F59" i="2"/>
  <c r="Q61" i="2"/>
  <c r="Q59" i="2"/>
  <c r="J61" i="2"/>
  <c r="J59" i="2"/>
  <c r="T61" i="2"/>
  <c r="T59" i="2"/>
  <c r="G61" i="2"/>
  <c r="G59" i="2"/>
  <c r="S61" i="2"/>
  <c r="S59" i="2"/>
  <c r="P61" i="2"/>
  <c r="P59" i="2"/>
  <c r="M61" i="2"/>
  <c r="M59" i="2"/>
  <c r="V61" i="2"/>
  <c r="V59" i="2"/>
  <c r="N61" i="2"/>
  <c r="N59" i="2"/>
  <c r="E59" i="2"/>
  <c r="C57" i="2"/>
  <c r="C58" i="2"/>
  <c r="G57" i="2"/>
  <c r="G58" i="2"/>
  <c r="S57" i="2"/>
  <c r="S58" i="2"/>
  <c r="M57" i="2"/>
  <c r="M58" i="2"/>
  <c r="N57" i="2"/>
  <c r="N58" i="2"/>
  <c r="L57" i="2"/>
  <c r="L58" i="2"/>
  <c r="Q57" i="2"/>
  <c r="Q58" i="2"/>
  <c r="I57" i="2"/>
  <c r="I58" i="2"/>
  <c r="J57" i="2"/>
  <c r="J58" i="2"/>
  <c r="H57" i="2"/>
  <c r="H58" i="2"/>
  <c r="T57" i="2"/>
  <c r="T58" i="2"/>
  <c r="D57" i="2"/>
  <c r="D58" i="2"/>
  <c r="K57" i="2"/>
  <c r="K58" i="2"/>
  <c r="E57" i="2"/>
  <c r="E58" i="2"/>
  <c r="P57" i="2"/>
  <c r="P58" i="2"/>
  <c r="V57" i="2"/>
  <c r="V58" i="2"/>
  <c r="U57" i="2"/>
  <c r="U58" i="2"/>
  <c r="O57" i="2"/>
  <c r="O58" i="2"/>
  <c r="R57" i="2"/>
  <c r="R58" i="2"/>
  <c r="F57" i="2"/>
  <c r="F58" i="2"/>
  <c r="D77" i="1" l="1"/>
  <c r="W59" i="2"/>
  <c r="W61" i="2"/>
  <c r="W57" i="2"/>
  <c r="W58" i="2"/>
  <c r="K72" i="2" s="1"/>
  <c r="M72" i="2" s="1"/>
  <c r="L71" i="2"/>
  <c r="M71" i="2" l="1"/>
  <c r="E97" i="9" s="1"/>
  <c r="E98" i="9"/>
  <c r="C51" i="9" l="1"/>
  <c r="C35" i="9"/>
  <c r="H141" i="1"/>
  <c r="C53" i="9" s="1"/>
  <c r="R143" i="1"/>
  <c r="F52" i="9" s="1"/>
  <c r="M96" i="2"/>
  <c r="R146" i="1" s="1"/>
  <c r="C22" i="9" l="1"/>
  <c r="F55" i="9"/>
  <c r="H146" i="1"/>
  <c r="H148" i="1" s="1"/>
  <c r="P140" i="1" l="1"/>
  <c r="N150" i="1" s="1"/>
  <c r="C56" i="9"/>
  <c r="H150" i="1"/>
  <c r="P141" i="1"/>
  <c r="R140" i="1" l="1"/>
  <c r="N146" i="1" s="1"/>
  <c r="F59" i="9"/>
  <c r="R141" i="1"/>
  <c r="C14" i="9"/>
  <c r="F14" i="9"/>
  <c r="F5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 Mike [Sec Div]</author>
  </authors>
  <commentList>
    <comment ref="P19" authorId="0" shapeId="0" xr:uid="{00000000-0006-0000-0A00-000001000000}">
      <text>
        <r>
          <rPr>
            <sz val="9"/>
            <color indexed="81"/>
            <rFont val="Tahoma"/>
            <family val="2"/>
          </rPr>
          <t>new issuer premium (assumed the worst)</t>
        </r>
      </text>
    </comment>
    <comment ref="P28" authorId="0" shapeId="0" xr:uid="{00000000-0006-0000-0A00-000002000000}">
      <text>
        <r>
          <rPr>
            <sz val="9"/>
            <color indexed="81"/>
            <rFont val="Tahoma"/>
            <family val="2"/>
          </rPr>
          <t>assume to be within the agency limits</t>
        </r>
      </text>
    </comment>
  </commentList>
</comments>
</file>

<file path=xl/sharedStrings.xml><?xml version="1.0" encoding="utf-8"?>
<sst xmlns="http://schemas.openxmlformats.org/spreadsheetml/2006/main" count="2166" uniqueCount="794">
  <si>
    <t xml:space="preserve"> </t>
  </si>
  <si>
    <t>e.g 54231</t>
  </si>
  <si>
    <t>Loan Details:</t>
  </si>
  <si>
    <t>Assessment Rate:</t>
  </si>
  <si>
    <t>eg. Yes/ No</t>
  </si>
  <si>
    <t>Product Rate:</t>
  </si>
  <si>
    <t>Monthly</t>
  </si>
  <si>
    <t>Income Details:</t>
  </si>
  <si>
    <t>Applicant:</t>
  </si>
  <si>
    <t>Household:</t>
  </si>
  <si>
    <t>Total Income:</t>
  </si>
  <si>
    <t>Expense Details:</t>
  </si>
  <si>
    <t>Number Adults:</t>
  </si>
  <si>
    <t>eg. 2</t>
  </si>
  <si>
    <t>Number Children:</t>
  </si>
  <si>
    <t>eg. 1</t>
  </si>
  <si>
    <t>Monthly Expenses:</t>
  </si>
  <si>
    <t xml:space="preserve">Childcare </t>
  </si>
  <si>
    <t xml:space="preserve">Education </t>
  </si>
  <si>
    <t xml:space="preserve">Groceries </t>
  </si>
  <si>
    <t xml:space="preserve">Insurance </t>
  </si>
  <si>
    <t xml:space="preserve">Medical &amp; Health </t>
  </si>
  <si>
    <t xml:space="preserve">Other </t>
  </si>
  <si>
    <t xml:space="preserve">Recreation &amp; Entertainment </t>
  </si>
  <si>
    <t xml:space="preserve">Transportation expenses </t>
  </si>
  <si>
    <t xml:space="preserve">Clothing &amp; Personal Expenses </t>
  </si>
  <si>
    <t xml:space="preserve">Phone/ Internet/ Subscriptions </t>
  </si>
  <si>
    <t>eg. $500</t>
  </si>
  <si>
    <t>Liability Type:</t>
  </si>
  <si>
    <t>Limit:</t>
  </si>
  <si>
    <t>Balance:</t>
  </si>
  <si>
    <t>Total Repayments:</t>
  </si>
  <si>
    <t>Net Income:</t>
  </si>
  <si>
    <t>Comments:</t>
  </si>
  <si>
    <t>LTI</t>
  </si>
  <si>
    <t>Yes</t>
  </si>
  <si>
    <t>No</t>
  </si>
  <si>
    <t>Products</t>
  </si>
  <si>
    <t>Rate</t>
  </si>
  <si>
    <t>Assessment Rate</t>
  </si>
  <si>
    <t>Floor Rate</t>
  </si>
  <si>
    <t>Income Types</t>
  </si>
  <si>
    <t>Salary</t>
  </si>
  <si>
    <t>Part Time Job</t>
  </si>
  <si>
    <t>Casual</t>
  </si>
  <si>
    <t>Commission</t>
  </si>
  <si>
    <t>Overtime</t>
  </si>
  <si>
    <t>Contract</t>
  </si>
  <si>
    <t>Investment Income</t>
  </si>
  <si>
    <t>Business Net Profit</t>
  </si>
  <si>
    <t>Business Addbacks</t>
  </si>
  <si>
    <t>Rental - Residential</t>
  </si>
  <si>
    <t>Rental - Commercial</t>
  </si>
  <si>
    <t>Allowance</t>
  </si>
  <si>
    <t xml:space="preserve">Clothing &amp; other personal expenses </t>
  </si>
  <si>
    <t>Investment property expenses                                          (new purchase / existing)</t>
  </si>
  <si>
    <t>Owner Occupied Council Rates/ Body Corp fees (new purchase/ existing)</t>
  </si>
  <si>
    <t xml:space="preserve">Telephone/ Internet/ Media &amp; Music subscriptions </t>
  </si>
  <si>
    <t>Living Expenses</t>
  </si>
  <si>
    <t>Tax Type</t>
  </si>
  <si>
    <t>Progressive</t>
  </si>
  <si>
    <t>Discretionary?</t>
  </si>
  <si>
    <t>HEM</t>
  </si>
  <si>
    <t>Couple</t>
  </si>
  <si>
    <t>Couple with 1 child</t>
  </si>
  <si>
    <t>Couple with 2 children</t>
  </si>
  <si>
    <t>Couple with 3 children</t>
  </si>
  <si>
    <t>Single person</t>
  </si>
  <si>
    <t>Single parent with 1 child</t>
  </si>
  <si>
    <t>Single parent with 2 children</t>
  </si>
  <si>
    <t>Single parent with 3 children</t>
  </si>
  <si>
    <t>Weekly</t>
  </si>
  <si>
    <t>Annualised</t>
  </si>
  <si>
    <t xml:space="preserve">Taxable Income </t>
  </si>
  <si>
    <t xml:space="preserve">Tax on this income </t>
  </si>
  <si>
    <t xml:space="preserve">0-$18,200 </t>
  </si>
  <si>
    <t xml:space="preserve">Nil </t>
  </si>
  <si>
    <t>$18,201 - $37,000</t>
  </si>
  <si>
    <t>19c for each $1 over $18,200</t>
  </si>
  <si>
    <t>$37,001 - $90,000</t>
  </si>
  <si>
    <t>$3,572 plus 32.5 for each $1 over $37,000</t>
  </si>
  <si>
    <t>$90,001 - $180,000</t>
  </si>
  <si>
    <t>$20,787 plus 37c for each $1 over $90,000</t>
  </si>
  <si>
    <t xml:space="preserve">$180,001 and over </t>
  </si>
  <si>
    <t>$54,097 plus 45c for each $1 over $180,000</t>
  </si>
  <si>
    <t>Medicare Levy</t>
  </si>
  <si>
    <t>Company tax rate</t>
  </si>
  <si>
    <t>Rate Loading</t>
  </si>
  <si>
    <t>Loan Term</t>
  </si>
  <si>
    <t>Minimum</t>
  </si>
  <si>
    <t>Maximum</t>
  </si>
  <si>
    <t>Loan Amount</t>
  </si>
  <si>
    <t>Miniumum</t>
  </si>
  <si>
    <t>Interest Only Terms</t>
  </si>
  <si>
    <t>Product Data</t>
  </si>
  <si>
    <t>Income Data</t>
  </si>
  <si>
    <t>Expense Data</t>
  </si>
  <si>
    <t>Liability Data</t>
  </si>
  <si>
    <t>Liability Type</t>
  </si>
  <si>
    <t xml:space="preserve">New Debt </t>
  </si>
  <si>
    <t xml:space="preserve">Rental Expense </t>
  </si>
  <si>
    <t xml:space="preserve">HECS / HELP </t>
  </si>
  <si>
    <t xml:space="preserve">Child Maintenance </t>
  </si>
  <si>
    <t xml:space="preserve">Loading 25% </t>
  </si>
  <si>
    <t xml:space="preserve">Actual </t>
  </si>
  <si>
    <t>Loan amount @ assessment rate, over loan term - P&amp;I</t>
  </si>
  <si>
    <t xml:space="preserve">Actual repayment </t>
  </si>
  <si>
    <t xml:space="preserve">Limit x 3.80% = monthly figure </t>
  </si>
  <si>
    <t xml:space="preserve">Notional rent ($650 per month per applicant) </t>
  </si>
  <si>
    <t xml:space="preserve">Manual calculation based on income </t>
  </si>
  <si>
    <t xml:space="preserve">Repayment Income </t>
  </si>
  <si>
    <t xml:space="preserve">Repayment Rate </t>
  </si>
  <si>
    <t>Below $45,881</t>
  </si>
  <si>
    <t>$45,881 -$52,973</t>
  </si>
  <si>
    <t>$52,974 -$ 56,151</t>
  </si>
  <si>
    <t>$56,152- $59,521</t>
  </si>
  <si>
    <t>$59,522 - $63,092</t>
  </si>
  <si>
    <t>$63,093- $66,877</t>
  </si>
  <si>
    <t>$66,878 - $70,890</t>
  </si>
  <si>
    <t>$70,891 - $ 75,144</t>
  </si>
  <si>
    <t>$75,145 - $79,652</t>
  </si>
  <si>
    <t>$79,653 - $ 84,432</t>
  </si>
  <si>
    <t>$84,433 - $89,498</t>
  </si>
  <si>
    <t>$89,499 - $94,868</t>
  </si>
  <si>
    <t>$94,869 - $100,560</t>
  </si>
  <si>
    <t>$100,561 - $106,593</t>
  </si>
  <si>
    <t>$106,594 - $112,989</t>
  </si>
  <si>
    <t>$112,990 - $ 119,769</t>
  </si>
  <si>
    <t>$119,770 - $ 126,955</t>
  </si>
  <si>
    <t>$126,959- $ 134,572</t>
  </si>
  <si>
    <t xml:space="preserve">$134,573 and above </t>
  </si>
  <si>
    <t>Hecs Payments</t>
  </si>
  <si>
    <t>Multiplier</t>
  </si>
  <si>
    <t>Notes</t>
  </si>
  <si>
    <t>Applicant</t>
  </si>
  <si>
    <t>Payment Frequency</t>
  </si>
  <si>
    <t>Annually</t>
  </si>
  <si>
    <t>Half Yearly</t>
  </si>
  <si>
    <t>Quarterly</t>
  </si>
  <si>
    <t>Fortnightly</t>
  </si>
  <si>
    <t>Daily</t>
  </si>
  <si>
    <t>Min</t>
  </si>
  <si>
    <t>Max</t>
  </si>
  <si>
    <t>Scalar</t>
  </si>
  <si>
    <t>Income</t>
  </si>
  <si>
    <t>Household</t>
  </si>
  <si>
    <t>Type</t>
  </si>
  <si>
    <t>Frequency</t>
  </si>
  <si>
    <t>Applicant Number</t>
  </si>
  <si>
    <t>Total</t>
  </si>
  <si>
    <t>*Row dedups incomes</t>
  </si>
  <si>
    <t>*Transpose the Incomes</t>
  </si>
  <si>
    <t>*Calculate annualised income</t>
  </si>
  <si>
    <t>*row calculates tax</t>
  </si>
  <si>
    <t>*medicare levy</t>
  </si>
  <si>
    <t>Net Salary</t>
  </si>
  <si>
    <t>*total income by household</t>
  </si>
  <si>
    <t>Expenses by Household</t>
  </si>
  <si>
    <t xml:space="preserve">Typical Supermarket - Food &amp; Toiletries </t>
  </si>
  <si>
    <t>Doctor, Dental, Optical, Massage, Chiro, Pharmaceutical etc</t>
  </si>
  <si>
    <t xml:space="preserve">Birthdays, Union Subscriptions, Gifts etc </t>
  </si>
  <si>
    <t xml:space="preserve">Eating out, Alcohol, Tobacco, Gambling. Social, Holidays, Sport </t>
  </si>
  <si>
    <t>Clothing, footwear, buy now/ pay later, cosmetics, hairdressing etc</t>
  </si>
  <si>
    <t xml:space="preserve">Home/ Contents/ Landlord/ Vehicle/ Health/ Life/ Income Protection / Other  </t>
  </si>
  <si>
    <t xml:space="preserve">Rates, Body Corp/ Strata &amp; Land Tax/ Utilities/ Maintenance </t>
  </si>
  <si>
    <t xml:space="preserve">Registration/ Petrol &amp; Maintenance/ Tolls/ Taxi/ Parking/ Public Transport </t>
  </si>
  <si>
    <t xml:space="preserve">Phone/ Internet/ Pay TV/ Netflix, Spotify etc </t>
  </si>
  <si>
    <t>Children</t>
  </si>
  <si>
    <t>Adults</t>
  </si>
  <si>
    <t>HEMS</t>
  </si>
  <si>
    <t>Declared</t>
  </si>
  <si>
    <t>Used</t>
  </si>
  <si>
    <t>eg. Credit Card</t>
  </si>
  <si>
    <t>Liabilities</t>
  </si>
  <si>
    <t>Limit</t>
  </si>
  <si>
    <t>balance</t>
  </si>
  <si>
    <t>MMP</t>
  </si>
  <si>
    <t>Calc Pmt</t>
  </si>
  <si>
    <t>Max Pmt</t>
  </si>
  <si>
    <t>POC</t>
  </si>
  <si>
    <t>Hec Ref</t>
  </si>
  <si>
    <t>eg. $900,000</t>
  </si>
  <si>
    <t>HEM Expenses</t>
  </si>
  <si>
    <t>Customer Declared Expenses</t>
  </si>
  <si>
    <t>LVR</t>
  </si>
  <si>
    <t>NSR</t>
  </si>
  <si>
    <t>Limits</t>
  </si>
  <si>
    <t>Consolidating:</t>
  </si>
  <si>
    <t>Total Interest for the Loan at assessment rate:</t>
  </si>
  <si>
    <t>P&amp;I</t>
  </si>
  <si>
    <t>Balance</t>
  </si>
  <si>
    <t>Interest</t>
  </si>
  <si>
    <t>Pmt</t>
  </si>
  <si>
    <t>Final Balance</t>
  </si>
  <si>
    <t>IO</t>
  </si>
  <si>
    <t>*Reduced for negative gearing</t>
  </si>
  <si>
    <t>Total Interest Year 1</t>
  </si>
  <si>
    <t>Total:</t>
  </si>
  <si>
    <t>Total All Households:</t>
  </si>
  <si>
    <t>FY Years</t>
  </si>
  <si>
    <t>FY Year</t>
  </si>
  <si>
    <t>FY20</t>
  </si>
  <si>
    <t>FY21</t>
  </si>
  <si>
    <t>FY22</t>
  </si>
  <si>
    <t>Start Date</t>
  </si>
  <si>
    <t>eg. $78,546.23</t>
  </si>
  <si>
    <t>eg. FY20</t>
  </si>
  <si>
    <t>eg. 1/Nov/2019</t>
  </si>
  <si>
    <t>YTD Gross Income:</t>
  </si>
  <si>
    <t>Annual Gross Income:</t>
  </si>
  <si>
    <t>Total Liability Repayments</t>
  </si>
  <si>
    <t>DTI</t>
  </si>
  <si>
    <t>DSR</t>
  </si>
  <si>
    <t>Total Gross Income</t>
  </si>
  <si>
    <t>Surplus Income after loan repayments:</t>
  </si>
  <si>
    <t>@ Assessed Rate:</t>
  </si>
  <si>
    <t xml:space="preserve">@ Product Rate:  </t>
  </si>
  <si>
    <t>Date of last payslip:</t>
  </si>
  <si>
    <t>Daycare, afterschool care, nannies</t>
  </si>
  <si>
    <t>School fees, books, levies, uniforms</t>
  </si>
  <si>
    <t>Self Employed Income Calculator</t>
  </si>
  <si>
    <t>YTD Gross Income Calculator</t>
  </si>
  <si>
    <t>Other Income</t>
  </si>
  <si>
    <t>Sole Trader/ Partner/ Directors Salary</t>
  </si>
  <si>
    <t>Net Profit</t>
  </si>
  <si>
    <t>Abnormal Expenses</t>
  </si>
  <si>
    <t>Company Profit</t>
  </si>
  <si>
    <t>Abnormal Income</t>
  </si>
  <si>
    <t>Taxable Income - Sole Proprietor or Partnership</t>
  </si>
  <si>
    <t>Taxable Income - Company</t>
  </si>
  <si>
    <t>Plus Addbacks / Non-Taxable Income</t>
  </si>
  <si>
    <t>Motor Vehicle Expenses</t>
  </si>
  <si>
    <t>Depreciation</t>
  </si>
  <si>
    <t>Other Self-Employed Addbacks</t>
  </si>
  <si>
    <t>None</t>
  </si>
  <si>
    <t>Gross Incomes</t>
  </si>
  <si>
    <t>Net Incomes by household</t>
  </si>
  <si>
    <t>Investment Mortgage</t>
  </si>
  <si>
    <t>OO Mortgage</t>
  </si>
  <si>
    <t>Gross Income by Household</t>
  </si>
  <si>
    <t>Liability and Special Expense Details:</t>
  </si>
  <si>
    <t>HEMs</t>
  </si>
  <si>
    <t>Investment Property Expenses</t>
  </si>
  <si>
    <t>OO Property Expenses</t>
  </si>
  <si>
    <t>Net Disposable Income before new loan:</t>
  </si>
  <si>
    <t>Results to go into Income Table on the Input sheet as Type Salary:</t>
  </si>
  <si>
    <t>Personal Loan Other Liability Rate</t>
  </si>
  <si>
    <t>Centrelink</t>
  </si>
  <si>
    <t>Child Support</t>
  </si>
  <si>
    <t>Net Income</t>
  </si>
  <si>
    <t>List of Net Income Salary Types</t>
  </si>
  <si>
    <t>Credit Card / Overdraft</t>
  </si>
  <si>
    <t>Line of Credit</t>
  </si>
  <si>
    <t>Personal Loan</t>
  </si>
  <si>
    <t>Company Profit after tax</t>
  </si>
  <si>
    <t>eg. $500,000</t>
  </si>
  <si>
    <t>OO</t>
  </si>
  <si>
    <t>Inv</t>
  </si>
  <si>
    <t>IO Term</t>
  </si>
  <si>
    <t>Investment/ Owner Occupied</t>
  </si>
  <si>
    <t>Full Term</t>
  </si>
  <si>
    <t>P&amp;I/ 
Interest Only</t>
  </si>
  <si>
    <t xml:space="preserve">     Optional</t>
  </si>
  <si>
    <t>LVR:</t>
  </si>
  <si>
    <t>Negative Gearing scaling</t>
  </si>
  <si>
    <t>Negative Gearing Attribution</t>
  </si>
  <si>
    <t>Eligible Income</t>
  </si>
  <si>
    <t>Max Borrowing Amount*:</t>
  </si>
  <si>
    <t>Application Reference:</t>
  </si>
  <si>
    <t>Type of Product:</t>
  </si>
  <si>
    <t>Security Value:</t>
  </si>
  <si>
    <t>$50k-$2m</t>
  </si>
  <si>
    <t>P&amp;I or IO</t>
  </si>
  <si>
    <t>OO or Inv</t>
  </si>
  <si>
    <t>eg. $700,000</t>
  </si>
  <si>
    <t>eg. OO Mortgage</t>
  </si>
  <si>
    <t>eg. $495,000</t>
  </si>
  <si>
    <t xml:space="preserve">  eg. $2,100</t>
  </si>
  <si>
    <t xml:space="preserve">  eg. $250</t>
  </si>
  <si>
    <t>Applicant Household:</t>
  </si>
  <si>
    <r>
      <rPr>
        <b/>
        <sz val="10"/>
        <color theme="3"/>
        <rFont val="Calibri"/>
        <family val="2"/>
        <scheme val="minor"/>
      </rPr>
      <t>Total Non-Taxable Income</t>
    </r>
    <r>
      <rPr>
        <b/>
        <sz val="10"/>
        <color theme="1"/>
        <rFont val="Calibri"/>
        <family val="2"/>
        <scheme val="minor"/>
      </rPr>
      <t xml:space="preserve">
</t>
    </r>
    <r>
      <rPr>
        <b/>
        <sz val="8"/>
        <color rgb="FFFF0000"/>
        <rFont val="Calibri"/>
        <family val="2"/>
        <scheme val="minor"/>
      </rPr>
      <t>This has been applied to the applicants Non-Taxed Income</t>
    </r>
  </si>
  <si>
    <r>
      <rPr>
        <b/>
        <sz val="9"/>
        <color theme="3"/>
        <rFont val="Calibri"/>
        <family val="2"/>
        <scheme val="minor"/>
      </rPr>
      <t>Total Taxable Income</t>
    </r>
    <r>
      <rPr>
        <b/>
        <sz val="9"/>
        <color theme="1"/>
        <rFont val="Calibri"/>
        <family val="2"/>
        <scheme val="minor"/>
      </rPr>
      <t xml:space="preserve">
</t>
    </r>
    <r>
      <rPr>
        <b/>
        <sz val="8"/>
        <color rgb="FFFF0000"/>
        <rFont val="Calibri"/>
        <family val="2"/>
        <scheme val="minor"/>
      </rPr>
      <t>This has been applied to the applicants Taxable Income</t>
    </r>
  </si>
  <si>
    <t>Unique List Applicants</t>
  </si>
  <si>
    <t>Number Unique</t>
  </si>
  <si>
    <t>Uniques</t>
  </si>
  <si>
    <t>Monthly Payment:</t>
  </si>
  <si>
    <t>Payment used in assessment:</t>
  </si>
  <si>
    <t>Count</t>
  </si>
  <si>
    <t>1 To 20</t>
  </si>
  <si>
    <t>Applicant Ref</t>
  </si>
  <si>
    <t>OFI Investment Loans Interest</t>
  </si>
  <si>
    <t>Max Bal and Limit</t>
  </si>
  <si>
    <t>Reversed Limit</t>
  </si>
  <si>
    <t>Interest for tax deduction of investment properties</t>
  </si>
  <si>
    <t>*11.7% is the average in balance change YoY of a homeloan, dividing by 2 gives the mid point, therefore based on an average P&amp;I loan, this would be the interest charged, given this balance.</t>
  </si>
  <si>
    <t>applicant</t>
  </si>
  <si>
    <t>Interest Rate</t>
  </si>
  <si>
    <t>Negative Gearing Option</t>
  </si>
  <si>
    <t>Full</t>
  </si>
  <si>
    <t>Partial</t>
  </si>
  <si>
    <t>Off</t>
  </si>
  <si>
    <t>On all investment loans, the interest charged each year is applied as a tex deduction to gross income</t>
  </si>
  <si>
    <t>Interest is NOT used as a tax deduction, but rental incomes are treated as not taxable incomes</t>
  </si>
  <si>
    <t>Interest is NOT used to deduct taxable income, and rental incomes are taxed</t>
  </si>
  <si>
    <t>Negative Gearing options</t>
  </si>
  <si>
    <t>Australia</t>
  </si>
  <si>
    <t>ACT &amp; NT</t>
  </si>
  <si>
    <t>NSW</t>
  </si>
  <si>
    <t>VIC</t>
  </si>
  <si>
    <t>QLD</t>
  </si>
  <si>
    <t>SA</t>
  </si>
  <si>
    <t>WA</t>
  </si>
  <si>
    <t>TAS</t>
  </si>
  <si>
    <t>States</t>
  </si>
  <si>
    <t>UNIQUE</t>
  </si>
  <si>
    <t>HEM BUFFER</t>
  </si>
  <si>
    <t>LVR &gt; 80%, OO, P&amp;I</t>
  </si>
  <si>
    <t>LVR &gt; 80%, OO, IO</t>
  </si>
  <si>
    <t>LVR &lt;= 80%, OO, P&amp;I</t>
  </si>
  <si>
    <t>LVR &lt;= 80%, OO, IO</t>
  </si>
  <si>
    <t>LVR &gt; 80%, Inv, P&amp;I</t>
  </si>
  <si>
    <t>LVR &gt; 80%, Inv, IO</t>
  </si>
  <si>
    <t>LVR &lt;= 80%, Inv, P&amp;I</t>
  </si>
  <si>
    <t>LVR &lt;= 80%, Inv, IO</t>
  </si>
  <si>
    <t>Foreign Income</t>
  </si>
  <si>
    <t>Foreign Rental Income</t>
  </si>
  <si>
    <t>Category 3 rental incomes to be entered seperately as per policy</t>
  </si>
  <si>
    <t>Monthly Repayments</t>
  </si>
  <si>
    <t>Options for toggle above DO NOT TOUCH:</t>
  </si>
  <si>
    <t>If actual pmt used then use in servicing, otherwise use calc</t>
  </si>
  <si>
    <t>Use MAX of calc payment or delcared payment</t>
  </si>
  <si>
    <t>Toggle Liabilities Calc:</t>
  </si>
  <si>
    <t>Business Type</t>
  </si>
  <si>
    <t>Company</t>
  </si>
  <si>
    <t>Sole Trader</t>
  </si>
  <si>
    <t>Partnership</t>
  </si>
  <si>
    <t>Business Type:</t>
  </si>
  <si>
    <t>TOGGLES</t>
  </si>
  <si>
    <t>HEM Options</t>
  </si>
  <si>
    <t>Absolute Gross Salary</t>
  </si>
  <si>
    <t>Gross Taxable Salary as reported to ATO</t>
  </si>
  <si>
    <t>Interest Deduction by Household</t>
  </si>
  <si>
    <t>Negative Gearing Once Off</t>
  </si>
  <si>
    <t>Instructions: Additional Loan Splits will appear as each row is completed.
When Investment Loan Type is selected, negative gearing benefits will automatically be applied.</t>
  </si>
  <si>
    <t>SECTION 1 - Loan Features</t>
  </si>
  <si>
    <t>SECTION 2 - Subordination</t>
  </si>
  <si>
    <t>SECTION 3 - Inputs</t>
  </si>
  <si>
    <t>#</t>
  </si>
  <si>
    <t>Loan Field</t>
  </si>
  <si>
    <t>Specific Loan Input</t>
  </si>
  <si>
    <t>AAA CE Calculator</t>
  </si>
  <si>
    <t>model adjustment</t>
  </si>
  <si>
    <t>item</t>
  </si>
  <si>
    <t>comment</t>
  </si>
  <si>
    <t>S&amp;P Inputs</t>
  </si>
  <si>
    <t>Loan ID</t>
  </si>
  <si>
    <t>LVR Distribution</t>
  </si>
  <si>
    <t>FF</t>
  </si>
  <si>
    <t>base case Foreclosure Frequency ("FF") adjustment</t>
  </si>
  <si>
    <t>Issuer</t>
  </si>
  <si>
    <t>tester</t>
  </si>
  <si>
    <t>Pool Size</t>
  </si>
  <si>
    <t>min pool size is 250 loans, otherwise a penalty will be applied</t>
  </si>
  <si>
    <t>Seasoning</t>
  </si>
  <si>
    <t>Loan Type</t>
  </si>
  <si>
    <t>Sub-prime</t>
  </si>
  <si>
    <t>Loan Seasoning (P&amp;I) (mhts)</t>
  </si>
  <si>
    <t>rows</t>
  </si>
  <si>
    <t>Borrower Group ID</t>
  </si>
  <si>
    <t>Loan Seasoning (I/O) (mths)</t>
  </si>
  <si>
    <t>Rating Agency</t>
  </si>
  <si>
    <t>Data Category</t>
  </si>
  <si>
    <t>Description</t>
  </si>
  <si>
    <t>Description2</t>
  </si>
  <si>
    <t>LBound</t>
  </si>
  <si>
    <t>DF Multiple</t>
  </si>
  <si>
    <t>MVD Multiple</t>
  </si>
  <si>
    <t>Borrower Residency</t>
  </si>
  <si>
    <t>Australian</t>
  </si>
  <si>
    <t>Repayment Method - IO Period (I/O)</t>
  </si>
  <si>
    <t>S&amp;P</t>
  </si>
  <si>
    <t>&lt;= 5 year</t>
  </si>
  <si>
    <t/>
  </si>
  <si>
    <t>Current Loan Balance</t>
  </si>
  <si>
    <t>Repayment Method Amortising Period Post IO (I/O)</t>
  </si>
  <si>
    <t xml:space="preserve">&gt; 5  - 6 years </t>
  </si>
  <si>
    <t>Current LTV</t>
  </si>
  <si>
    <t>Loan Term (P&amp;I)</t>
  </si>
  <si>
    <t xml:space="preserve">&gt; 6  - 7 years </t>
  </si>
  <si>
    <t>Documentation</t>
  </si>
  <si>
    <t>Full Doc</t>
  </si>
  <si>
    <t>Savings Verified</t>
  </si>
  <si>
    <t xml:space="preserve">&gt; 7  - 8 years </t>
  </si>
  <si>
    <t>Interest Type</t>
  </si>
  <si>
    <t>Variable</t>
  </si>
  <si>
    <t>Documentation (Low Doc and Self Employed)</t>
  </si>
  <si>
    <t xml:space="preserve">&gt; 8  - 9 years </t>
  </si>
  <si>
    <t>Line Of Credit</t>
  </si>
  <si>
    <t>Issuer Multiple</t>
  </si>
  <si>
    <t xml:space="preserve">&gt; 9  - 10 years </t>
  </si>
  <si>
    <t>Property Occupancy</t>
  </si>
  <si>
    <t>Investment</t>
  </si>
  <si>
    <t>First Time Buyer</t>
  </si>
  <si>
    <t xml:space="preserve">&gt; 10 years </t>
  </si>
  <si>
    <t>Original Loan Balance</t>
  </si>
  <si>
    <t>Property Occupancy - Investor/Owner</t>
  </si>
  <si>
    <t>Facility limit</t>
  </si>
  <si>
    <t>Property Occupancy - Investor/Owner vs Inner City vs High Density</t>
  </si>
  <si>
    <t>IO Period</t>
  </si>
  <si>
    <t>Original LTV</t>
  </si>
  <si>
    <t>Borrower residency</t>
  </si>
  <si>
    <t>Repayment Method</t>
  </si>
  <si>
    <t>Interest Only</t>
  </si>
  <si>
    <t>Days Past Due</t>
  </si>
  <si>
    <t>Product</t>
  </si>
  <si>
    <t>Times in Arrears (No credit events)</t>
  </si>
  <si>
    <t>&lt;=5 years</t>
  </si>
  <si>
    <t>Post Code</t>
  </si>
  <si>
    <t>Credit History / Credit Events</t>
  </si>
  <si>
    <t>5-&lt;=10 years</t>
  </si>
  <si>
    <t>Location</t>
  </si>
  <si>
    <t>NSW Metro</t>
  </si>
  <si>
    <t>Discount Loan</t>
  </si>
  <si>
    <t>10-&lt;=15 years</t>
  </si>
  <si>
    <t>Total Valuation</t>
  </si>
  <si>
    <t>Geographic Concentration</t>
  </si>
  <si>
    <t>15-&lt;=20 years</t>
  </si>
  <si>
    <t>Settlement Date</t>
  </si>
  <si>
    <t>Borrower Employment</t>
  </si>
  <si>
    <t>&gt;20 years</t>
  </si>
  <si>
    <t>Maturity Date</t>
  </si>
  <si>
    <t>Further Advances / Further Redraw</t>
  </si>
  <si>
    <t>Fixed Term Remaining in Years</t>
  </si>
  <si>
    <t>Loan Purpose</t>
  </si>
  <si>
    <t>Amortising Period</t>
  </si>
  <si>
    <t>IO Period Remaining in Years</t>
  </si>
  <si>
    <t>Property Value</t>
  </si>
  <si>
    <t>MVD</t>
  </si>
  <si>
    <t>Number of Days in Arrears</t>
  </si>
  <si>
    <t>Location Inner City High Density</t>
  </si>
  <si>
    <t>Bound</t>
  </si>
  <si>
    <t>Scheduled Loan Balance</t>
  </si>
  <si>
    <t>Loan Purpose - Construction</t>
  </si>
  <si>
    <t>&lt;3 years</t>
  </si>
  <si>
    <t>Employment</t>
  </si>
  <si>
    <t>PAYE/Full Time</t>
  </si>
  <si>
    <t>Foreclosure Period</t>
  </si>
  <si>
    <t>foreclosure</t>
  </si>
  <si>
    <t>=3-&lt;5 years</t>
  </si>
  <si>
    <t>Country of Loan Origination</t>
  </si>
  <si>
    <t>Fixed Expense</t>
  </si>
  <si>
    <t>=5-&lt;10 years</t>
  </si>
  <si>
    <t>Variable Expense</t>
  </si>
  <si>
    <t>=10-&lt;15 years</t>
  </si>
  <si>
    <t>Lenders Mortgage Insurance</t>
  </si>
  <si>
    <t>N/A</t>
  </si>
  <si>
    <t>total adj: Default Prob</t>
  </si>
  <si>
    <t>&gt;=15 years</t>
  </si>
  <si>
    <t>Purchase New</t>
  </si>
  <si>
    <t>total adj: MVD</t>
  </si>
  <si>
    <t>Credit History</t>
  </si>
  <si>
    <t>Loan term (P&amp;I)</t>
  </si>
  <si>
    <t>Type of Residence</t>
  </si>
  <si>
    <t>High Density</t>
  </si>
  <si>
    <t>Rating Scenario</t>
  </si>
  <si>
    <t>AAA</t>
  </si>
  <si>
    <t>Scheduled LVR</t>
  </si>
  <si>
    <t>Foreclosure Frequency</t>
  </si>
  <si>
    <t>Years Business in Operation (for self-employed)</t>
  </si>
  <si>
    <t>&lt;=15 years</t>
  </si>
  <si>
    <t>$ Loss</t>
  </si>
  <si>
    <t>15years &lt;term&lt;30 years</t>
  </si>
  <si>
    <t>Amortising Period Post IO in Years</t>
  </si>
  <si>
    <t>% Loss Severity</t>
  </si>
  <si>
    <t>Interest Rate (%)</t>
  </si>
  <si>
    <t>Credit Support</t>
  </si>
  <si>
    <t>Further Advances</t>
  </si>
  <si>
    <t>Further Redraw</t>
  </si>
  <si>
    <t>DSCR</t>
  </si>
  <si>
    <t>Sources Documentation</t>
  </si>
  <si>
    <t>Times Arrears</t>
  </si>
  <si>
    <t>Credit History Years Ago</t>
  </si>
  <si>
    <t>Tax Returns</t>
  </si>
  <si>
    <t>Documentation Sources</t>
  </si>
  <si>
    <t>Valuation Type</t>
  </si>
  <si>
    <t>Pool Date</t>
  </si>
  <si>
    <t>State</t>
  </si>
  <si>
    <t>Metro; Non metro; Inner city</t>
  </si>
  <si>
    <t>Metro</t>
  </si>
  <si>
    <t>Documentation Seasoning</t>
  </si>
  <si>
    <t>&lt;=12 mths</t>
  </si>
  <si>
    <t>12-24 mths</t>
  </si>
  <si>
    <t>24-36 mths</t>
  </si>
  <si>
    <t>36-48 mths</t>
  </si>
  <si>
    <t>48-60 mths</t>
  </si>
  <si>
    <t>60-72 mths</t>
  </si>
  <si>
    <t>&gt;72 mths</t>
  </si>
  <si>
    <t>Occupancy</t>
  </si>
  <si>
    <t>Owner</t>
  </si>
  <si>
    <t>Full Valuation</t>
  </si>
  <si>
    <t>Occupancy and High Density</t>
  </si>
  <si>
    <t>Inner City</t>
  </si>
  <si>
    <t>Non Metro</t>
  </si>
  <si>
    <t>S&amp;P Postcodes</t>
  </si>
  <si>
    <t>Postcode</t>
  </si>
  <si>
    <t>Region</t>
  </si>
  <si>
    <t>Exclude</t>
  </si>
  <si>
    <t>ACT</t>
  </si>
  <si>
    <t>Non metro</t>
  </si>
  <si>
    <t>NT</t>
  </si>
  <si>
    <t>Inner city</t>
  </si>
  <si>
    <t>Residency</t>
  </si>
  <si>
    <t>Other</t>
  </si>
  <si>
    <t>Arrears &lt;6mths</t>
  </si>
  <si>
    <t>Multiple</t>
  </si>
  <si>
    <t>Arrears</t>
  </si>
  <si>
    <t>0 credit events</t>
  </si>
  <si>
    <t>1 credit events</t>
  </si>
  <si>
    <t>2 credit events</t>
  </si>
  <si>
    <t>Up to 1</t>
  </si>
  <si>
    <t>2</t>
  </si>
  <si>
    <t>3</t>
  </si>
  <si>
    <t>4</t>
  </si>
  <si>
    <t>5 or more</t>
  </si>
  <si>
    <t>Self Employed No Doc</t>
  </si>
  <si>
    <t>No Doc</t>
  </si>
  <si>
    <t>Self Employed Full/Low Doc</t>
  </si>
  <si>
    <t>Full/Low Doc</t>
  </si>
  <si>
    <t>Over 65</t>
  </si>
  <si>
    <t>PAYE/Part Time</t>
  </si>
  <si>
    <t>PAYE/Casual</t>
  </si>
  <si>
    <t>Pension</t>
  </si>
  <si>
    <t>Unemployed</t>
  </si>
  <si>
    <t>Missing Data Assumption</t>
  </si>
  <si>
    <t>Further Advances &amp; redraws</t>
  </si>
  <si>
    <t>Advance</t>
  </si>
  <si>
    <t>Redraw</t>
  </si>
  <si>
    <t>Business</t>
  </si>
  <si>
    <t>Prime</t>
  </si>
  <si>
    <t>Construction</t>
  </si>
  <si>
    <t>Home Equity</t>
  </si>
  <si>
    <t>Home Improvement</t>
  </si>
  <si>
    <t>Purchase Existing</t>
  </si>
  <si>
    <t>Refinance</t>
  </si>
  <si>
    <t>Refinance Equity Takeout</t>
  </si>
  <si>
    <t>Undefined</t>
  </si>
  <si>
    <t>Debt Consolidation</t>
  </si>
  <si>
    <t>Property Size</t>
  </si>
  <si>
    <t>&gt;$0 to $1,000,000</t>
  </si>
  <si>
    <t>&gt;$1,000,000 to $1,500,000</t>
  </si>
  <si>
    <t>&gt;$1,500,000 to $2,000,000</t>
  </si>
  <si>
    <t>&gt;$2,000,000 to $2,500,000</t>
  </si>
  <si>
    <t>&gt;$2,500,000 to $3,000,000</t>
  </si>
  <si>
    <t>&gt;$3,000,000</t>
  </si>
  <si>
    <t>Foreclosure Expense</t>
  </si>
  <si>
    <t>Rating</t>
  </si>
  <si>
    <t>Value/Benchmark</t>
  </si>
  <si>
    <t>Fixed</t>
  </si>
  <si>
    <t>Large Property</t>
  </si>
  <si>
    <t>Non-Construction</t>
  </si>
  <si>
    <t>Default Frequency &amp; Default Interest</t>
  </si>
  <si>
    <t>Default Frequency</t>
  </si>
  <si>
    <t>Default Interest</t>
  </si>
  <si>
    <t>AA+</t>
  </si>
  <si>
    <t>AA</t>
  </si>
  <si>
    <t>AA-</t>
  </si>
  <si>
    <t>A+</t>
  </si>
  <si>
    <t>A</t>
  </si>
  <si>
    <t>A-</t>
  </si>
  <si>
    <t>BBB+</t>
  </si>
  <si>
    <t>BBB</t>
  </si>
  <si>
    <t>BBB-</t>
  </si>
  <si>
    <t>BB+</t>
  </si>
  <si>
    <t>BB</t>
  </si>
  <si>
    <t>BB-</t>
  </si>
  <si>
    <t>B+</t>
  </si>
  <si>
    <t>B</t>
  </si>
  <si>
    <t>B-</t>
  </si>
  <si>
    <t>Default Frequency Floor</t>
  </si>
  <si>
    <t>seasoning</t>
  </si>
  <si>
    <t>Minimum Default Frequency &lt;6mths</t>
  </si>
  <si>
    <t>Minimum Default Frequency &gt;6mths</t>
  </si>
  <si>
    <t>Do</t>
  </si>
  <si>
    <t>Additional Input selectors</t>
  </si>
  <si>
    <t>Principal and Interest</t>
  </si>
  <si>
    <t>Repayment Type</t>
  </si>
  <si>
    <t>***Need to clarify, input says days, but in reference table uses months and in calculation</t>
  </si>
  <si>
    <t>Not Used</t>
  </si>
  <si>
    <t>Input</t>
  </si>
  <si>
    <t>Employment Type</t>
  </si>
  <si>
    <t>Self Employed</t>
  </si>
  <si>
    <t>Valuation Type (Full Valuation)</t>
  </si>
  <si>
    <t>Int Type</t>
  </si>
  <si>
    <t xml:space="preserve"> eg. 1</t>
  </si>
  <si>
    <t xml:space="preserve"> eg. tester</t>
  </si>
  <si>
    <t xml:space="preserve"> eg. Sub-prime</t>
  </si>
  <si>
    <t xml:space="preserve"> eg. Australian</t>
  </si>
  <si>
    <t xml:space="preserve"> eg. 1000000</t>
  </si>
  <si>
    <t xml:space="preserve"> eg. 0.7</t>
  </si>
  <si>
    <t xml:space="preserve"> eg. Full Doc</t>
  </si>
  <si>
    <t xml:space="preserve"> eg. Variable</t>
  </si>
  <si>
    <t xml:space="preserve"> eg. No</t>
  </si>
  <si>
    <t xml:space="preserve"> eg. Investment</t>
  </si>
  <si>
    <t xml:space="preserve"> eg. -1</t>
  </si>
  <si>
    <t xml:space="preserve"> eg. 0</t>
  </si>
  <si>
    <t xml:space="preserve"> eg. Interest Only</t>
  </si>
  <si>
    <t xml:space="preserve"> eg. </t>
  </si>
  <si>
    <t xml:space="preserve"> eg. 2000</t>
  </si>
  <si>
    <t xml:space="preserve"> eg. NSW Metro</t>
  </si>
  <si>
    <t xml:space="preserve"> eg. 1428571.42857143</t>
  </si>
  <si>
    <t xml:space="preserve"> eg. 43220</t>
  </si>
  <si>
    <t xml:space="preserve"> eg. 54178</t>
  </si>
  <si>
    <t xml:space="preserve"> eg. 3</t>
  </si>
  <si>
    <t xml:space="preserve"> eg. PAYE/Full Time</t>
  </si>
  <si>
    <t xml:space="preserve"> eg. Australia</t>
  </si>
  <si>
    <t xml:space="preserve"> eg. N/A</t>
  </si>
  <si>
    <t xml:space="preserve"> eg. Purchase New</t>
  </si>
  <si>
    <t xml:space="preserve"> eg. High Density</t>
  </si>
  <si>
    <t xml:space="preserve"> eg. 25</t>
  </si>
  <si>
    <t xml:space="preserve"> eg. 27</t>
  </si>
  <si>
    <t xml:space="preserve"> eg. 0.0969</t>
  </si>
  <si>
    <t xml:space="preserve"> eg. 2</t>
  </si>
  <si>
    <t xml:space="preserve"> eg. 0.5</t>
  </si>
  <si>
    <t xml:space="preserve"> eg. 43982</t>
  </si>
  <si>
    <t xml:space="preserve"> eg. NSW</t>
  </si>
  <si>
    <t xml:space="preserve"> eg. Metro</t>
  </si>
  <si>
    <t>Loan Summary</t>
  </si>
  <si>
    <t>Underwriter:</t>
  </si>
  <si>
    <t>Broker:</t>
  </si>
  <si>
    <t>Loan ID:</t>
  </si>
  <si>
    <t>Loan Type:</t>
  </si>
  <si>
    <t>Subordination Required:</t>
  </si>
  <si>
    <t>Monthly Repayment:</t>
  </si>
  <si>
    <t>Surplus (per annum):</t>
  </si>
  <si>
    <t>At Product Rate:</t>
  </si>
  <si>
    <t>At Assessment Rate:</t>
  </si>
  <si>
    <t>Results</t>
  </si>
  <si>
    <t>Credit Enhancement Summary</t>
  </si>
  <si>
    <t>Region:</t>
  </si>
  <si>
    <t>Product Type:</t>
  </si>
  <si>
    <t>NSR:</t>
  </si>
  <si>
    <t>PD:</t>
  </si>
  <si>
    <t>Loss Severity:</t>
  </si>
  <si>
    <t>Credit Enhancement:</t>
  </si>
  <si>
    <t>Application Details</t>
  </si>
  <si>
    <t>Product:</t>
  </si>
  <si>
    <t>Principal:</t>
  </si>
  <si>
    <t>Total Security:</t>
  </si>
  <si>
    <t>Loan Term:</t>
  </si>
  <si>
    <t>Purpose:</t>
  </si>
  <si>
    <t>First Time Buyer:</t>
  </si>
  <si>
    <t>Gross Annual Income:</t>
  </si>
  <si>
    <t>Net Annual Income:</t>
  </si>
  <si>
    <t>Employment Status:</t>
  </si>
  <si>
    <t>Income Type:</t>
  </si>
  <si>
    <t>Months at Current Employer:</t>
  </si>
  <si>
    <t>State:</t>
  </si>
  <si>
    <t>Marital Status:</t>
  </si>
  <si>
    <t>No Dependents:</t>
  </si>
  <si>
    <t xml:space="preserve">No Defaults: </t>
  </si>
  <si>
    <t>Months Since Default:</t>
  </si>
  <si>
    <t>No Judgements:</t>
  </si>
  <si>
    <t>Months Since Judgement:</t>
  </si>
  <si>
    <t>Prior Bankrupt:</t>
  </si>
  <si>
    <t>Months Since Discharged:</t>
  </si>
  <si>
    <t>Credit Event History:</t>
  </si>
  <si>
    <t>Customer Credit:</t>
  </si>
  <si>
    <t>Repayment Method:</t>
  </si>
  <si>
    <t>Page 1</t>
  </si>
  <si>
    <t>Page 2</t>
  </si>
  <si>
    <t>Servicability</t>
  </si>
  <si>
    <t>Annual Net Income:</t>
  </si>
  <si>
    <t>Other Annual Payments:</t>
  </si>
  <si>
    <t>Net Available Income:</t>
  </si>
  <si>
    <t>Loan Amount:</t>
  </si>
  <si>
    <t>Matrix Rate + Stress:</t>
  </si>
  <si>
    <t>Term:</t>
  </si>
  <si>
    <t>Annual Payments, Stressed:</t>
  </si>
  <si>
    <t>Annual Surplus, Stressed:</t>
  </si>
  <si>
    <t>Total HEM:</t>
  </si>
  <si>
    <t>Total Liability Repayments:</t>
  </si>
  <si>
    <t>DTI:</t>
  </si>
  <si>
    <t>DSR:</t>
  </si>
  <si>
    <t>Servicing Result:</t>
  </si>
  <si>
    <t>Default Probability</t>
  </si>
  <si>
    <t xml:space="preserve"> Declared Living Expenses:</t>
  </si>
  <si>
    <t>Current Liabilities</t>
  </si>
  <si>
    <t>Reapyments:</t>
  </si>
  <si>
    <t>Liability Credit Limit</t>
  </si>
  <si>
    <t>Page 3</t>
  </si>
  <si>
    <t>Discharge</t>
  </si>
  <si>
    <t>30yr P&amp;I at assessment rate</t>
  </si>
  <si>
    <t>Old version no longer used since 11th Aug 2020</t>
  </si>
  <si>
    <t>Old version no longer used since 11th Aug 2020, kept for reference</t>
  </si>
  <si>
    <t>Gross PAYG</t>
  </si>
  <si>
    <t>Contract PAYG</t>
  </si>
  <si>
    <t>Rental - Foreign</t>
  </si>
  <si>
    <t>Business Salary:</t>
  </si>
  <si>
    <t>Extra 1</t>
  </si>
  <si>
    <t>Extra 2</t>
  </si>
  <si>
    <t>Extra 3</t>
  </si>
  <si>
    <t>Extra 4</t>
  </si>
  <si>
    <t>Income Type</t>
  </si>
  <si>
    <t>Shading</t>
  </si>
  <si>
    <t>Gross/ Net</t>
  </si>
  <si>
    <t>Total Net Income</t>
  </si>
  <si>
    <t>Total Income</t>
  </si>
  <si>
    <t>a</t>
  </si>
  <si>
    <t>Applicant 1</t>
  </si>
  <si>
    <t>Applicant 2</t>
  </si>
  <si>
    <t>Applicant 3</t>
  </si>
  <si>
    <t>Applicant 4</t>
  </si>
  <si>
    <t>Applicant 5</t>
  </si>
  <si>
    <t>Applicant 6</t>
  </si>
  <si>
    <t>Applicant 7</t>
  </si>
  <si>
    <t>Applicant 8</t>
  </si>
  <si>
    <t>Applicant 9</t>
  </si>
  <si>
    <t>Applicant 10</t>
  </si>
  <si>
    <t>Applicant 11</t>
  </si>
  <si>
    <t>Applicant 12</t>
  </si>
  <si>
    <t>Applicant 13</t>
  </si>
  <si>
    <t>Applicant 14</t>
  </si>
  <si>
    <t>Applicant 15</t>
  </si>
  <si>
    <t>Applicant 16</t>
  </si>
  <si>
    <t>Applicant 17</t>
  </si>
  <si>
    <t>Applicant 18</t>
  </si>
  <si>
    <t>Applicant 19</t>
  </si>
  <si>
    <t>Applicant 20</t>
  </si>
  <si>
    <t>Gross</t>
  </si>
  <si>
    <t>Net</t>
  </si>
  <si>
    <t>Total Allowable Income</t>
  </si>
  <si>
    <t>Negative Gearing Interest Deduction</t>
  </si>
  <si>
    <t>Negative gearing factor</t>
  </si>
  <si>
    <t>Total Taxable Income</t>
  </si>
  <si>
    <t>Income Tax</t>
  </si>
  <si>
    <t>Declared Net Income</t>
  </si>
  <si>
    <t>Declared Gross Income</t>
  </si>
  <si>
    <t>Negative gearing attribution</t>
  </si>
  <si>
    <t>HEM Reference</t>
  </si>
  <si>
    <t>HEM Value Annually</t>
  </si>
  <si>
    <t>Declared Living Expense</t>
  </si>
  <si>
    <t>Value Used</t>
  </si>
  <si>
    <t>Total Limits Investment Mortgage</t>
  </si>
  <si>
    <t>Total Allowable Income:</t>
  </si>
  <si>
    <t>Total Eligible Income</t>
  </si>
  <si>
    <t>eg. Applicant 1</t>
  </si>
  <si>
    <t>eg. Applicant 2</t>
  </si>
  <si>
    <t>eg. Applicant 3</t>
  </si>
  <si>
    <t>Other Gross Income</t>
  </si>
  <si>
    <t>Rental Income</t>
  </si>
  <si>
    <t>Residential</t>
  </si>
  <si>
    <t>Commercial</t>
  </si>
  <si>
    <t>Foreign</t>
  </si>
  <si>
    <t>Non-Taxable Income</t>
  </si>
  <si>
    <t>Business Income</t>
  </si>
  <si>
    <t>Assessor Name:</t>
  </si>
  <si>
    <t>Internal Use</t>
  </si>
  <si>
    <t>Applicant Name(s):</t>
  </si>
  <si>
    <t>Taxable</t>
  </si>
  <si>
    <t>Non-Taxable</t>
  </si>
  <si>
    <t>Results:</t>
  </si>
  <si>
    <t>Extra 0</t>
  </si>
  <si>
    <t>On/ Off</t>
  </si>
  <si>
    <t>Ensure Household is selected for each Applicant 
To have more than 5 applicants press the Add Applicant button, to remove one of the additional applicants, press the Remove Applicant Button
To enter in Business Incomes click Add Business Income</t>
  </si>
  <si>
    <r>
      <t xml:space="preserve">Instructions: 
1. </t>
    </r>
    <r>
      <rPr>
        <i/>
        <sz val="7"/>
        <color theme="0" tint="-0.34998626667073579"/>
        <rFont val="Calibri"/>
        <family val="2"/>
        <scheme val="minor"/>
      </rPr>
      <t>Liability Type</t>
    </r>
    <r>
      <rPr>
        <sz val="7"/>
        <color theme="0" tint="-0.34998626667073579"/>
        <rFont val="Calibri"/>
        <family val="2"/>
        <scheme val="minor"/>
      </rPr>
      <t xml:space="preserve"> and </t>
    </r>
    <r>
      <rPr>
        <i/>
        <sz val="7"/>
        <color theme="0" tint="-0.34998626667073579"/>
        <rFont val="Calibri"/>
        <family val="2"/>
        <scheme val="minor"/>
      </rPr>
      <t>Applicant</t>
    </r>
    <r>
      <rPr>
        <sz val="7"/>
        <color theme="0" tint="-0.34998626667073579"/>
        <rFont val="Calibri"/>
        <family val="2"/>
        <scheme val="minor"/>
      </rPr>
      <t xml:space="preserve"> fields required. 
2. For multiple appliants on the same debt, either assign the full debt to one applicant, or reduce the </t>
    </r>
    <r>
      <rPr>
        <i/>
        <sz val="7"/>
        <color theme="0" tint="-0.34998626667073579"/>
        <rFont val="Calibri"/>
        <family val="2"/>
        <scheme val="minor"/>
      </rPr>
      <t xml:space="preserve">Limit/ Balance/ Monthly Payment </t>
    </r>
    <r>
      <rPr>
        <sz val="7"/>
        <color theme="0" tint="-0.34998626667073579"/>
        <rFont val="Calibri"/>
        <family val="2"/>
        <scheme val="minor"/>
      </rPr>
      <t xml:space="preserve">to the applicants share of repayments. 
3. When splitting Investment Mortgages - the Negative Gearing benefit will be given to each applicant selected.
4. If a </t>
    </r>
    <r>
      <rPr>
        <i/>
        <sz val="7"/>
        <color theme="0" tint="-0.34998626667073579"/>
        <rFont val="Calibri"/>
        <family val="2"/>
        <scheme val="minor"/>
      </rPr>
      <t>Monthly Payment</t>
    </r>
    <r>
      <rPr>
        <sz val="7"/>
        <color theme="0" tint="-0.34998626667073579"/>
        <rFont val="Calibri"/>
        <family val="2"/>
        <scheme val="minor"/>
      </rPr>
      <t xml:space="preserve"> is entered, the assessment will use this amount. If this is amount is not known, please enter in the other details and a figure will be calculated.
5. Where an applicant has multiple Credit Cards, you can either enter in each credit card in a seperatel row, or add in one credit card liability where the limit is the total of all their credit cards.
6. Debts being consolidated are not mandatory.</t>
    </r>
  </si>
  <si>
    <t>On/Off</t>
  </si>
  <si>
    <t>Interest Charge for negative gearing</t>
  </si>
  <si>
    <t>Version</t>
  </si>
  <si>
    <t>Date</t>
  </si>
  <si>
    <t>Editor</t>
  </si>
  <si>
    <t>Change Request</t>
  </si>
  <si>
    <t>Edits</t>
  </si>
  <si>
    <t>Jake Miller</t>
  </si>
  <si>
    <t xml:space="preserve">Good Morning Jake, 
Happy Hump Day! 
Could you please look to adjust the BNK servicing with the new tax rates as per the budget announcement? 
The details will be on the ATO website.  Please ensure you keep a list of any changes for version control. 
Let me know if you have any questions or require any assistance. 
Thanks, 
</t>
  </si>
  <si>
    <t>https://www.ato.gov.au/General/New-legislation/In-detail/Direct-taxes/Income-tax-for-individuals/JobMaker-Plan---bringing-forward-the-Personal-Income-Tax-Plan/
Edit made from above table, in console increasing the tax rates:
increase the low income tax offset (LITO) from $445 to $700 and adjust the phase out rules
increase the top threshold of the 19% personal income tax bracket from $37,000 to $45,000, and
increase the top threshold of the 32.5% personal income tax bracket from $90,000 to $120,000.
Taxable income
Tax on this income
0 to $18,200
Nil
$18,201 to $45,000
19cents for each $1 over $18,200
$45,001 to $120,000
$5,092 plus 32.5cents for each $1 over $45,000
$120,001 to $180,000
$29,467 plus 37cents for each $1 over $120,000
$180,001 and over
$51,667 plus 45cents for each $1 over $180,000</t>
  </si>
  <si>
    <t>Prime Servicing Calculator</t>
  </si>
  <si>
    <t>Residential - Cat 3</t>
  </si>
  <si>
    <t>Rental - Cat 3</t>
  </si>
  <si>
    <t>eg. $5,000</t>
  </si>
  <si>
    <t>eg. $2,400</t>
  </si>
  <si>
    <t xml:space="preserve">Change request from Ben Shirvani:
Hi Jake 
• Please add rental income for cat 3 with 60% shading
• Fix the bug for  overtime, commission and investment income (sees like I of investment is also missing )
</t>
  </si>
  <si>
    <t>Added rental income for category 3 with 60% shaded income, this unhid one of the free rental income types in the input and updated the shading in the formulas sheet.
Fixed bug where overtime income was not showing, the sum formula in the input sheet in row 44 was referencing the formulas sheet and looking it rows 15 to 20, where it should of been referencing rows 13 to 20.
Fixed bug in DTI/ LTI where personal loan was entered but balance and limit was not entered, then the limit was inferred incorrectly, this has been updated to set reversed limits to 0, and a flag has been put in input sheet in cells R107:R132 where if balance or limit has not been entered it will give a warning prompt.</t>
  </si>
  <si>
    <t>Borrowing Entity:</t>
  </si>
  <si>
    <t>Borrower Entity</t>
  </si>
  <si>
    <t>Individual</t>
  </si>
  <si>
    <t>Change Request from Kean Burke and Scott Smith:
The major difference is that BNK calculator is deducting company tax from the NPBT and then adding this back to the borrower personal income and then it’s taxed again at personal tax rates.</t>
  </si>
  <si>
    <t>Added option on Input page to select between borrower entity, now drop down option for business or individual.
When Business is selected in the formulas sheet in cell range C40 to C46, there is an if statement that will change the taxable income from gross to net, what this then does it treats the business income as tax exempt from personal income, the business income tax rates will apply but the personal tax income rates do not. This essentially treats both entities seperately and filing seperate tax returns.
When Individual is selected, then any business profit is treated as franked dividend, in this case franking credits are applied to the individuals total taxable income.
The next factor is if the business is company or SP/Partnership, as SP and Partnership are taxed under personal tax rates no corporate tax rate is applied, so in the formulas sheet in rows 51 and 52, the formulas check if the tax applied will be business or individual, then checks the company structure for SP/Partnership, where applicable will and subract income amounts</t>
  </si>
  <si>
    <t xml:space="preserve">3 minor points though we need to address:
• Borrowing entity cell (row 13) – I’d recommend the following names:
o Individual
o Company (not business)
• Reset button is not working
• Business income page – When an amount is put in the “add back” section, lines 29-31, the whole section turns dark grey. Is this supposed to happen? 
</t>
  </si>
  <si>
    <t>Updated borrower entity names in console
Reset button fixed
Fixed error in excel macro that was turning the income page dark grey from selection
Bug fix business income tax calc - Updated the tax calculation to move formula from applicant 1 into applicant 2-5</t>
  </si>
  <si>
    <t>Change Request ffrom Ben Shirvani | Better Choice &lt;Ben.s@betterchoice.com.au&gt;: Bug in the warning code for external liabilites, asking to enter balance/ limit when Hecs/help, child maintence and rental expesne were selected.</t>
  </si>
  <si>
    <r>
      <t xml:space="preserve">Updated Cells R107 to R132 in the </t>
    </r>
    <r>
      <rPr>
        <i/>
        <sz val="11"/>
        <color theme="1"/>
        <rFont val="Calibri"/>
        <family val="2"/>
        <scheme val="minor"/>
      </rPr>
      <t>Input</t>
    </r>
    <r>
      <rPr>
        <sz val="11"/>
        <color theme="1"/>
        <rFont val="Calibri"/>
        <family val="2"/>
        <scheme val="minor"/>
      </rPr>
      <t xml:space="preserve"> sheet to check if liabilities type is  Hecs/help, child maintence and rental expesne and if so do not display error.</t>
    </r>
  </si>
  <si>
    <t>1. Updates to DTI Calculation where if loan has been consolidated it will not show in the DTI calculation.
2. Updating PLs so we only use the input MMP instead of the calculated, regardless of if it is greater than the calculated payment</t>
  </si>
  <si>
    <t>1. In the formulas sheet in P101:P125, adding in the IF function so that if POC field is Yes then display limit at 0 so this flows into DTI Calc
2. In the formulas sheet in cells M101:M125 changing the formula to take into consideration when the loan is a personal loan to only use MMP unless nothing else is entered.</t>
  </si>
  <si>
    <t>Version 2.91a
06/09/2021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</si>
</sst>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Red]\-&quot;$&quot;#,##0"/>
    <numFmt numFmtId="165" formatCode="&quot;$&quot;#,##0.00;[Red]\-&quot;$&quot;#,##0.00"/>
    <numFmt numFmtId="166" formatCode="_-&quot;$&quot;* #,##0.00_-;\-&quot;$&quot;* #,##0.00_-;_-&quot;$&quot;* &quot;-&quot;??_-;_-@_-"/>
    <numFmt numFmtId="167" formatCode="_-* #,##0.00_-;\-* #,##0.00_-;_-* &quot;-&quot;??_-;_-@_-"/>
    <numFmt numFmtId="168" formatCode="_-&quot;$&quot;* #,##0_-;\-&quot;$&quot;* #,##0_-;_-&quot;$&quot;* &quot;-&quot;??_-;_-@_-"/>
    <numFmt numFmtId="169" formatCode="_-* #,##0_-;\-* #,##0_-;_-* &quot;-&quot;??_-;_-@_-"/>
    <numFmt numFmtId="170" formatCode="0.0"/>
    <numFmt numFmtId="171" formatCode="[$-C09]dd\-mmm\-yy;@"/>
    <numFmt numFmtId="172" formatCode="0.0000%"/>
    <numFmt numFmtId="173" formatCode="0.0%"/>
    <numFmt numFmtId="174" formatCode="&quot;loan input&quot;\ 0"/>
    <numFmt numFmtId="175" formatCode="0.00\ &quot;x&quot;"/>
    <numFmt numFmtId="176" formatCode="0\ &quot;mths&quot;"/>
    <numFmt numFmtId="177" formatCode="#,##0.0"/>
    <numFmt numFmtId="178" formatCode="0.000"/>
    <numFmt numFmtId="179" formatCode="0\ &quot;days&quot;"/>
    <numFmt numFmtId="180" formatCode="#,##0\ &quot;mth&quot;"/>
    <numFmt numFmtId="181" formatCode="#,##0\ &quot;mths&quot;"/>
    <numFmt numFmtId="182" formatCode="_-&quot;$&quot;* #,##0.000_-;\-&quot;$&quot;* #,##0.000_-;_-&quot;$&quot;* &quot;-&quot;??_-;_-@_-"/>
  </numFmts>
  <fonts count="65">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sz val="11"/>
      <color rgb="FFFF0000"/>
      <name val="Calibri"/>
      <family val="2"/>
      <scheme val="minor"/>
    </font>
    <font>
      <sz val="9"/>
      <color theme="0" tint="-0.34998626667073579"/>
      <name val="Calibri"/>
      <family val="2"/>
      <scheme val="minor"/>
    </font>
    <font>
      <sz val="8"/>
      <color theme="0" tint="-0.34998626667073579"/>
      <name val="Calibri"/>
      <family val="2"/>
      <scheme val="minor"/>
    </font>
    <font>
      <b/>
      <sz val="11"/>
      <color rgb="FF000000"/>
      <name val="Times New Roman"/>
      <family val="1"/>
    </font>
    <font>
      <sz val="9"/>
      <name val="Calibri"/>
      <family val="2"/>
      <scheme val="minor"/>
    </font>
    <font>
      <b/>
      <sz val="9"/>
      <color theme="1"/>
      <name val="Calibri"/>
      <family val="2"/>
      <scheme val="minor"/>
    </font>
    <font>
      <sz val="11"/>
      <color theme="0"/>
      <name val="Calibri"/>
      <family val="2"/>
      <scheme val="minor"/>
    </font>
    <font>
      <sz val="10"/>
      <color theme="0" tint="-0.34998626667073579"/>
      <name val="Calibri"/>
      <family val="2"/>
      <scheme val="minor"/>
    </font>
    <font>
      <sz val="9"/>
      <color theme="0" tint="-0.499984740745262"/>
      <name val="Calibri"/>
      <family val="2"/>
      <scheme val="minor"/>
    </font>
    <font>
      <sz val="8"/>
      <color theme="0" tint="-0.499984740745262"/>
      <name val="Calibri"/>
      <family val="2"/>
      <scheme val="minor"/>
    </font>
    <font>
      <sz val="22"/>
      <color theme="1"/>
      <name val="Calibri"/>
      <family val="2"/>
      <scheme val="minor"/>
    </font>
    <font>
      <sz val="9"/>
      <color theme="0"/>
      <name val="Calibri"/>
      <family val="2"/>
      <scheme val="minor"/>
    </font>
    <font>
      <sz val="8"/>
      <color theme="0"/>
      <name val="Calibri"/>
      <family val="2"/>
      <scheme val="minor"/>
    </font>
    <font>
      <b/>
      <sz val="10"/>
      <color theme="1"/>
      <name val="Calibri"/>
      <family val="2"/>
      <scheme val="minor"/>
    </font>
    <font>
      <b/>
      <sz val="8"/>
      <color rgb="FFFF0000"/>
      <name val="Calibri"/>
      <family val="2"/>
      <scheme val="minor"/>
    </font>
    <font>
      <b/>
      <sz val="11"/>
      <color theme="3"/>
      <name val="Calibri"/>
      <family val="2"/>
      <scheme val="minor"/>
    </font>
    <font>
      <sz val="9"/>
      <color rgb="FFFF0000"/>
      <name val="Calibri"/>
      <family val="2"/>
      <scheme val="minor"/>
    </font>
    <font>
      <sz val="8"/>
      <color theme="3"/>
      <name val="Calibri"/>
      <family val="2"/>
      <scheme val="minor"/>
    </font>
    <font>
      <sz val="11"/>
      <color theme="3"/>
      <name val="Calibri"/>
      <family val="2"/>
      <scheme val="minor"/>
    </font>
    <font>
      <sz val="9"/>
      <color theme="3"/>
      <name val="Calibri"/>
      <family val="2"/>
      <scheme val="minor"/>
    </font>
    <font>
      <sz val="10"/>
      <color theme="3"/>
      <name val="Calibri"/>
      <family val="2"/>
      <scheme val="minor"/>
    </font>
    <font>
      <sz val="7"/>
      <color theme="0" tint="-0.34998626667073579"/>
      <name val="Calibri"/>
      <family val="2"/>
      <scheme val="minor"/>
    </font>
    <font>
      <b/>
      <sz val="10"/>
      <color theme="3"/>
      <name val="Calibri"/>
      <family val="2"/>
      <scheme val="minor"/>
    </font>
    <font>
      <b/>
      <sz val="9"/>
      <color theme="3"/>
      <name val="Calibri"/>
      <family val="2"/>
      <scheme val="minor"/>
    </font>
    <font>
      <i/>
      <sz val="7"/>
      <color theme="0" tint="-0.34998626667073579"/>
      <name val="Calibri"/>
      <family val="2"/>
      <scheme val="minor"/>
    </font>
    <font>
      <sz val="11"/>
      <color rgb="FF00B050"/>
      <name val="Calibri"/>
      <family val="2"/>
      <scheme val="minor"/>
    </font>
    <font>
      <b/>
      <sz val="8"/>
      <color theme="3"/>
      <name val="Arial Rounded MT Bold"/>
      <family val="2"/>
    </font>
    <font>
      <sz val="7"/>
      <color theme="0" tint="-0.499984740745262"/>
      <name val="Calibri"/>
      <family val="2"/>
      <scheme val="minor"/>
    </font>
    <font>
      <sz val="8"/>
      <color theme="0"/>
      <name val="Arial"/>
      <family val="2"/>
    </font>
    <font>
      <sz val="10"/>
      <name val="Arial"/>
      <family val="2"/>
    </font>
    <font>
      <sz val="8"/>
      <color theme="1"/>
      <name val="Arila"/>
    </font>
    <font>
      <sz val="8"/>
      <color rgb="FF0000FF"/>
      <name val="Arial"/>
      <family val="2"/>
    </font>
    <font>
      <b/>
      <sz val="8"/>
      <color theme="1"/>
      <name val="Arial"/>
      <family val="2"/>
    </font>
    <font>
      <sz val="10"/>
      <color indexed="8"/>
      <name val="Arial"/>
      <family val="2"/>
    </font>
    <font>
      <sz val="8"/>
      <name val="Arial"/>
      <family val="2"/>
    </font>
    <font>
      <sz val="8"/>
      <color theme="1"/>
      <name val="Arial"/>
      <family val="2"/>
    </font>
    <font>
      <b/>
      <sz val="8"/>
      <color theme="1"/>
      <name val="Arila"/>
    </font>
    <font>
      <sz val="9"/>
      <color indexed="81"/>
      <name val="Tahoma"/>
      <family val="2"/>
    </font>
    <font>
      <sz val="12"/>
      <color theme="0"/>
      <name val="Calibri"/>
      <family val="2"/>
      <scheme val="minor"/>
    </font>
    <font>
      <b/>
      <sz val="8"/>
      <color theme="1"/>
      <name val="Calibri"/>
      <family val="2"/>
      <scheme val="minor"/>
    </font>
    <font>
      <sz val="12"/>
      <color theme="1"/>
      <name val="Calibri"/>
      <family val="2"/>
      <scheme val="minor"/>
    </font>
    <font>
      <b/>
      <sz val="16"/>
      <color theme="1"/>
      <name val="Calibri"/>
      <family val="2"/>
      <scheme val="minor"/>
    </font>
    <font>
      <b/>
      <sz val="20"/>
      <color theme="1"/>
      <name val="Calibri"/>
      <family val="2"/>
      <scheme val="minor"/>
    </font>
    <font>
      <b/>
      <sz val="11"/>
      <color theme="0" tint="-0.249977111117893"/>
      <name val="Calibri"/>
      <family val="2"/>
      <scheme val="minor"/>
    </font>
    <font>
      <b/>
      <sz val="9"/>
      <color theme="0" tint="-0.249977111117893"/>
      <name val="Calibri"/>
      <family val="2"/>
      <scheme val="minor"/>
    </font>
    <font>
      <b/>
      <sz val="8"/>
      <color theme="3"/>
      <name val="Calibri"/>
      <family val="2"/>
      <scheme val="minor"/>
    </font>
    <font>
      <b/>
      <sz val="11"/>
      <color theme="0"/>
      <name val="Calibri"/>
      <family val="2"/>
      <scheme val="minor"/>
    </font>
    <font>
      <sz val="7"/>
      <color theme="0"/>
      <name val="Calibri"/>
      <family val="2"/>
      <scheme val="minor"/>
    </font>
    <font>
      <b/>
      <sz val="8"/>
      <color theme="0"/>
      <name val="Calibri"/>
      <family val="2"/>
      <scheme val="minor"/>
    </font>
    <font>
      <sz val="10"/>
      <color theme="0"/>
      <name val="Calibri"/>
      <family val="2"/>
      <scheme val="minor"/>
    </font>
    <font>
      <sz val="7"/>
      <color theme="1"/>
      <name val="Calibri"/>
      <family val="2"/>
      <scheme val="minor"/>
    </font>
    <font>
      <sz val="24"/>
      <color rgb="FFBC2043"/>
      <name val="Arial Rounded MT Bold"/>
      <family val="2"/>
    </font>
    <font>
      <b/>
      <sz val="14"/>
      <color rgb="FFBC2043"/>
      <name val="Calibri"/>
      <family val="2"/>
      <scheme val="minor"/>
    </font>
    <font>
      <b/>
      <sz val="11"/>
      <color rgb="FFBC2043"/>
      <name val="Calibri"/>
      <family val="2"/>
      <scheme val="minor"/>
    </font>
    <font>
      <sz val="11"/>
      <color rgb="FFBC2043"/>
      <name val="Calibri"/>
      <family val="2"/>
      <scheme val="minor"/>
    </font>
    <font>
      <u/>
      <sz val="11"/>
      <color theme="10"/>
      <name val="Calibri"/>
      <family val="2"/>
      <scheme val="minor"/>
    </font>
    <font>
      <i/>
      <sz val="11"/>
      <color theme="1"/>
      <name val="Calibri"/>
      <family val="2"/>
      <scheme val="minor"/>
    </font>
    <font>
      <sz val="8"/>
      <color rgb="FFBC2043"/>
      <name val="Arial Rounded MT Bold"/>
      <family val="2"/>
    </font>
  </fonts>
  <fills count="1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9" tint="0.79995117038483843"/>
        <bgColor indexed="64"/>
      </patternFill>
    </fill>
    <fill>
      <patternFill patternType="solid">
        <fgColor theme="4" tint="-0.499984740745262"/>
        <bgColor indexed="64"/>
      </patternFill>
    </fill>
    <fill>
      <patternFill patternType="solid">
        <fgColor theme="2" tint="-0.8999908444471571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499984740745262"/>
        <bgColor indexed="0"/>
      </patternFill>
    </fill>
    <fill>
      <patternFill patternType="solid">
        <fgColor theme="2"/>
        <bgColor indexed="64"/>
      </patternFill>
    </fill>
    <fill>
      <patternFill patternType="solid">
        <fgColor theme="9"/>
        <bgColor indexed="64"/>
      </patternFill>
    </fill>
    <fill>
      <patternFill patternType="solid">
        <fgColor rgb="FF869FB7"/>
        <bgColor indexed="64"/>
      </patternFill>
    </fill>
    <fill>
      <patternFill patternType="solid">
        <fgColor rgb="FFBC2043"/>
        <bgColor indexed="64"/>
      </patternFill>
    </fill>
  </fills>
  <borders count="61">
    <border>
      <left/>
      <right/>
      <top/>
      <bottom/>
      <diagonal/>
    </border>
    <border>
      <left/>
      <right style="hair">
        <color rgb="FFC00000"/>
      </right>
      <top/>
      <bottom/>
      <diagonal/>
    </border>
    <border>
      <left style="hair">
        <color rgb="FFC00000"/>
      </left>
      <right style="hair">
        <color rgb="FFC00000"/>
      </right>
      <top style="hair">
        <color rgb="FFC00000"/>
      </top>
      <bottom style="hair">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
      <left style="hair">
        <color rgb="FF23B978"/>
      </left>
      <right/>
      <top/>
      <bottom/>
      <diagonal/>
    </border>
    <border>
      <left/>
      <right/>
      <top style="hair">
        <color rgb="FF23B978"/>
      </top>
      <bottom/>
      <diagonal/>
    </border>
    <border>
      <left/>
      <right style="thin">
        <color theme="0"/>
      </right>
      <top style="thin">
        <color theme="0"/>
      </top>
      <bottom/>
      <diagonal/>
    </border>
    <border>
      <left/>
      <right style="thin">
        <color theme="0"/>
      </right>
      <top/>
      <bottom style="thin">
        <color theme="0"/>
      </bottom>
      <diagonal/>
    </border>
    <border>
      <left/>
      <right/>
      <top/>
      <bottom style="thin">
        <color indexed="64"/>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style="thin">
        <color theme="0"/>
      </top>
      <bottom style="thin">
        <color theme="0"/>
      </bottom>
      <diagonal/>
    </border>
    <border>
      <left style="hair">
        <color auto="1"/>
      </left>
      <right style="hair">
        <color auto="1"/>
      </right>
      <top style="thin">
        <color theme="0"/>
      </top>
      <bottom style="thin">
        <color theme="0"/>
      </bottom>
      <diagonal/>
    </border>
    <border>
      <left style="hair">
        <color auto="1"/>
      </left>
      <right/>
      <top style="thin">
        <color theme="0"/>
      </top>
      <bottom style="thin">
        <color theme="0"/>
      </bottom>
      <diagonal/>
    </border>
    <border>
      <left/>
      <right style="hair">
        <color auto="1"/>
      </right>
      <top style="thin">
        <color theme="0"/>
      </top>
      <bottom/>
      <diagonal/>
    </border>
    <border>
      <left style="hair">
        <color auto="1"/>
      </left>
      <right style="hair">
        <color auto="1"/>
      </right>
      <top style="thin">
        <color theme="0"/>
      </top>
      <bottom/>
      <diagonal/>
    </border>
    <border>
      <left style="hair">
        <color auto="1"/>
      </left>
      <right/>
      <top style="thin">
        <color theme="0"/>
      </top>
      <bottom/>
      <diagonal/>
    </border>
    <border>
      <left/>
      <right/>
      <top style="hair">
        <color auto="1"/>
      </top>
      <bottom/>
      <diagonal/>
    </border>
    <border>
      <left/>
      <right/>
      <top style="medium">
        <color auto="1"/>
      </top>
      <bottom style="hair">
        <color auto="1"/>
      </bottom>
      <diagonal/>
    </border>
    <border>
      <left/>
      <right/>
      <top style="hair">
        <color auto="1"/>
      </top>
      <bottom style="medium">
        <color auto="1"/>
      </bottom>
      <diagonal/>
    </border>
    <border>
      <left/>
      <right/>
      <top/>
      <bottom style="hair">
        <color auto="1"/>
      </bottom>
      <diagonal/>
    </border>
    <border>
      <left/>
      <right style="hair">
        <color auto="1"/>
      </right>
      <top style="medium">
        <color theme="1"/>
      </top>
      <bottom style="thin">
        <color theme="0"/>
      </bottom>
      <diagonal/>
    </border>
    <border>
      <left style="hair">
        <color auto="1"/>
      </left>
      <right style="hair">
        <color auto="1"/>
      </right>
      <top style="medium">
        <color theme="1"/>
      </top>
      <bottom style="thin">
        <color theme="0"/>
      </bottom>
      <diagonal/>
    </border>
    <border>
      <left style="hair">
        <color auto="1"/>
      </left>
      <right/>
      <top style="medium">
        <color theme="1"/>
      </top>
      <bottom style="thin">
        <color theme="0"/>
      </bottom>
      <diagonal/>
    </border>
    <border>
      <left style="thin">
        <color theme="0"/>
      </left>
      <right style="thin">
        <color theme="0"/>
      </right>
      <top style="thin">
        <color theme="0"/>
      </top>
      <bottom style="thin">
        <color theme="0"/>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right/>
      <top/>
      <bottom style="medium">
        <color rgb="FFBC2043"/>
      </bottom>
      <diagonal/>
    </border>
    <border>
      <left/>
      <right/>
      <top style="medium">
        <color rgb="FFBC2043"/>
      </top>
      <bottom style="medium">
        <color rgb="FFBC2043"/>
      </bottom>
      <diagonal/>
    </border>
    <border>
      <left/>
      <right/>
      <top style="thin">
        <color theme="0"/>
      </top>
      <bottom style="medium">
        <color rgb="FFBC2043"/>
      </bottom>
      <diagonal/>
    </border>
    <border>
      <left/>
      <right style="medium">
        <color rgb="FFBC2043"/>
      </right>
      <top/>
      <bottom/>
      <diagonal/>
    </border>
    <border>
      <left style="thin">
        <color theme="0"/>
      </left>
      <right style="medium">
        <color rgb="FFBC2043"/>
      </right>
      <top style="thin">
        <color theme="0"/>
      </top>
      <bottom style="thin">
        <color theme="0"/>
      </bottom>
      <diagonal/>
    </border>
    <border>
      <left style="thin">
        <color theme="0"/>
      </left>
      <right style="medium">
        <color rgb="FFBC2043"/>
      </right>
      <top style="thin">
        <color theme="0"/>
      </top>
      <bottom/>
      <diagonal/>
    </border>
    <border>
      <left/>
      <right style="medium">
        <color rgb="FFBC2043"/>
      </right>
      <top/>
      <bottom style="medium">
        <color rgb="FFBC2043"/>
      </bottom>
      <diagonal/>
    </border>
    <border>
      <left/>
      <right style="medium">
        <color rgb="FFBC2043"/>
      </right>
      <top style="medium">
        <color rgb="FFBC2043"/>
      </top>
      <bottom style="medium">
        <color rgb="FFBC2043"/>
      </bottom>
      <diagonal/>
    </border>
    <border>
      <left/>
      <right style="medium">
        <color rgb="FFBC2043"/>
      </right>
      <top style="thin">
        <color theme="0"/>
      </top>
      <bottom style="medium">
        <color rgb="FFBC2043"/>
      </bottom>
      <diagonal/>
    </border>
    <border>
      <left/>
      <right/>
      <top style="medium">
        <color rgb="FFC00000"/>
      </top>
      <bottom style="medium">
        <color rgb="FFBC2043"/>
      </bottom>
      <diagonal/>
    </border>
    <border>
      <left style="medium">
        <color rgb="FFBC2043"/>
      </left>
      <right/>
      <top/>
      <bottom style="medium">
        <color rgb="FFBC2043"/>
      </bottom>
      <diagonal/>
    </border>
  </borders>
  <cellStyleXfs count="7">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36" fillId="0" borderId="0"/>
    <xf numFmtId="0" fontId="40" fillId="0" borderId="0"/>
    <xf numFmtId="0" fontId="62" fillId="0" borderId="0" applyNumberFormat="0" applyFill="0" applyBorder="0" applyAlignment="0" applyProtection="0"/>
  </cellStyleXfs>
  <cellXfs count="507">
    <xf numFmtId="0" fontId="0" fillId="0" borderId="0" xfId="0"/>
    <xf numFmtId="0" fontId="0" fillId="2" borderId="0" xfId="0" applyFill="1"/>
    <xf numFmtId="0" fontId="0" fillId="2" borderId="0" xfId="0" applyFill="1" applyBorder="1"/>
    <xf numFmtId="9" fontId="0" fillId="0" borderId="0" xfId="0" applyNumberFormat="1"/>
    <xf numFmtId="10" fontId="0" fillId="0" borderId="0" xfId="0" applyNumberFormat="1"/>
    <xf numFmtId="0" fontId="2" fillId="0" borderId="0" xfId="0" applyFont="1"/>
    <xf numFmtId="0" fontId="0" fillId="0" borderId="0" xfId="0" applyFont="1"/>
    <xf numFmtId="0" fontId="0" fillId="0" borderId="0" xfId="0" applyFont="1" applyAlignment="1">
      <alignment wrapText="1"/>
    </xf>
    <xf numFmtId="168" fontId="10" fillId="0" borderId="0" xfId="2" applyNumberFormat="1" applyFont="1" applyBorder="1" applyAlignment="1">
      <alignment horizontal="center"/>
    </xf>
    <xf numFmtId="168" fontId="0" fillId="0" borderId="0" xfId="0" applyNumberFormat="1"/>
    <xf numFmtId="166" fontId="0" fillId="0" borderId="0" xfId="0" applyNumberFormat="1"/>
    <xf numFmtId="0" fontId="2" fillId="0" borderId="0" xfId="0" applyFont="1" applyAlignment="1">
      <alignment horizontal="left"/>
    </xf>
    <xf numFmtId="0" fontId="0" fillId="0" borderId="0" xfId="0" applyAlignment="1">
      <alignment horizontal="left"/>
    </xf>
    <xf numFmtId="166" fontId="0" fillId="0" borderId="0" xfId="2" applyFont="1"/>
    <xf numFmtId="168" fontId="0" fillId="0" borderId="0" xfId="2" applyNumberFormat="1" applyFont="1"/>
    <xf numFmtId="0" fontId="0" fillId="0" borderId="0" xfId="0" applyAlignment="1">
      <alignment horizontal="right"/>
    </xf>
    <xf numFmtId="0" fontId="0" fillId="0" borderId="0" xfId="0" applyAlignment="1">
      <alignment wrapText="1"/>
    </xf>
    <xf numFmtId="0" fontId="7" fillId="0" borderId="0" xfId="0" applyFont="1"/>
    <xf numFmtId="10" fontId="0" fillId="0" borderId="0" xfId="0" applyNumberFormat="1" applyAlignment="1">
      <alignment horizontal="left"/>
    </xf>
    <xf numFmtId="9" fontId="0" fillId="0" borderId="0" xfId="0" applyNumberFormat="1" applyAlignment="1">
      <alignment horizontal="left"/>
    </xf>
    <xf numFmtId="169" fontId="0" fillId="0" borderId="0" xfId="1" applyNumberFormat="1" applyFont="1"/>
    <xf numFmtId="10" fontId="0" fillId="0" borderId="0" xfId="3" applyNumberFormat="1" applyFont="1"/>
    <xf numFmtId="0" fontId="5" fillId="2" borderId="0" xfId="0" applyFont="1" applyFill="1"/>
    <xf numFmtId="0" fontId="5" fillId="2" borderId="0" xfId="0" applyFont="1" applyFill="1" applyBorder="1"/>
    <xf numFmtId="170" fontId="0" fillId="0" borderId="0" xfId="0" applyNumberFormat="1"/>
    <xf numFmtId="165" fontId="0" fillId="0" borderId="0" xfId="0" applyNumberFormat="1"/>
    <xf numFmtId="14" fontId="0" fillId="0" borderId="0" xfId="0" applyNumberFormat="1"/>
    <xf numFmtId="168" fontId="12" fillId="2" borderId="0" xfId="0" applyNumberFormat="1" applyFont="1" applyFill="1"/>
    <xf numFmtId="0" fontId="0" fillId="2" borderId="0" xfId="0" applyFill="1" applyProtection="1"/>
    <xf numFmtId="0" fontId="16"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Protection="1"/>
    <xf numFmtId="0" fontId="0" fillId="2" borderId="0" xfId="0" applyFill="1" applyAlignment="1" applyProtection="1">
      <alignment horizontal="right"/>
    </xf>
    <xf numFmtId="0" fontId="2" fillId="2" borderId="0" xfId="0" applyFont="1" applyFill="1" applyProtection="1"/>
    <xf numFmtId="166" fontId="12" fillId="2" borderId="0" xfId="2" applyFont="1" applyFill="1" applyProtection="1"/>
    <xf numFmtId="166" fontId="6" fillId="2" borderId="0" xfId="2" applyFont="1" applyFill="1" applyProtection="1"/>
    <xf numFmtId="2" fontId="0" fillId="2" borderId="0" xfId="0" applyNumberFormat="1" applyFill="1" applyProtection="1"/>
    <xf numFmtId="0" fontId="0" fillId="2" borderId="0" xfId="0" applyFill="1" applyAlignment="1" applyProtection="1">
      <alignment vertical="top"/>
    </xf>
    <xf numFmtId="0" fontId="16" fillId="2" borderId="0" xfId="0" applyFont="1" applyFill="1" applyAlignment="1" applyProtection="1">
      <alignment horizontal="center" vertical="top"/>
    </xf>
    <xf numFmtId="0" fontId="0" fillId="2" borderId="0" xfId="0" applyFill="1" applyAlignment="1" applyProtection="1">
      <alignment horizontal="center"/>
    </xf>
    <xf numFmtId="0" fontId="6" fillId="2" borderId="0" xfId="0" applyFont="1" applyFill="1" applyBorder="1" applyAlignment="1" applyProtection="1">
      <alignment horizontal="center"/>
    </xf>
    <xf numFmtId="0" fontId="6" fillId="2" borderId="0" xfId="0" applyFont="1" applyFill="1" applyBorder="1" applyProtection="1"/>
    <xf numFmtId="0" fontId="3" fillId="2" borderId="0" xfId="0" applyFont="1" applyFill="1" applyBorder="1" applyProtection="1"/>
    <xf numFmtId="0" fontId="8" fillId="2" borderId="0" xfId="0" applyFont="1" applyFill="1" applyBorder="1" applyAlignment="1" applyProtection="1">
      <alignment horizontal="left"/>
    </xf>
    <xf numFmtId="0" fontId="0" fillId="2" borderId="0" xfId="0" applyFill="1" applyBorder="1" applyAlignment="1" applyProtection="1">
      <alignment horizontal="center"/>
    </xf>
    <xf numFmtId="0" fontId="5" fillId="2" borderId="0" xfId="0" applyFont="1" applyFill="1" applyBorder="1" applyProtection="1"/>
    <xf numFmtId="10" fontId="0" fillId="2" borderId="0" xfId="3" applyNumberFormat="1" applyFont="1" applyFill="1" applyBorder="1" applyAlignment="1" applyProtection="1">
      <alignment horizontal="right"/>
    </xf>
    <xf numFmtId="165" fontId="0" fillId="2" borderId="0" xfId="3" applyNumberFormat="1" applyFont="1" applyFill="1" applyProtection="1"/>
    <xf numFmtId="0" fontId="5" fillId="2" borderId="0" xfId="0" applyFont="1" applyFill="1" applyProtection="1"/>
    <xf numFmtId="0" fontId="13" fillId="2" borderId="0" xfId="0" applyFont="1" applyFill="1" applyProtection="1"/>
    <xf numFmtId="10" fontId="6" fillId="2" borderId="0" xfId="3" applyNumberFormat="1" applyFont="1" applyFill="1" applyBorder="1" applyAlignment="1" applyProtection="1">
      <alignment horizontal="center"/>
    </xf>
    <xf numFmtId="166" fontId="6" fillId="2" borderId="0" xfId="2" applyFont="1" applyFill="1" applyBorder="1" applyAlignment="1" applyProtection="1">
      <alignment horizontal="right"/>
    </xf>
    <xf numFmtId="10" fontId="4" fillId="2" borderId="0" xfId="3" applyNumberFormat="1" applyFont="1" applyFill="1" applyBorder="1" applyAlignment="1" applyProtection="1">
      <alignment horizontal="center"/>
    </xf>
    <xf numFmtId="166" fontId="12" fillId="2" borderId="0" xfId="0" applyNumberFormat="1" applyFont="1" applyFill="1" applyProtection="1"/>
    <xf numFmtId="0" fontId="0" fillId="2" borderId="0" xfId="0" applyFont="1" applyFill="1" applyAlignment="1" applyProtection="1">
      <alignment horizontal="right"/>
    </xf>
    <xf numFmtId="166" fontId="6" fillId="2" borderId="2" xfId="2" applyFont="1" applyFill="1" applyBorder="1" applyAlignment="1" applyProtection="1">
      <alignment horizontal="right"/>
      <protection locked="0"/>
    </xf>
    <xf numFmtId="10" fontId="4" fillId="2" borderId="2" xfId="3" applyNumberFormat="1" applyFont="1" applyFill="1" applyBorder="1" applyAlignment="1" applyProtection="1">
      <alignment horizontal="center"/>
      <protection locked="0"/>
    </xf>
    <xf numFmtId="171" fontId="6" fillId="2" borderId="2" xfId="3" applyNumberFormat="1" applyFont="1" applyFill="1" applyBorder="1" applyAlignment="1" applyProtection="1">
      <alignment horizontal="right"/>
      <protection locked="0"/>
    </xf>
    <xf numFmtId="0" fontId="6" fillId="2" borderId="0" xfId="0" applyFont="1" applyFill="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13" fillId="3" borderId="4" xfId="0" applyFont="1" applyFill="1" applyBorder="1"/>
    <xf numFmtId="0" fontId="18" fillId="3" borderId="4" xfId="0" applyFont="1" applyFill="1" applyBorder="1" applyProtection="1"/>
    <xf numFmtId="169" fontId="18" fillId="3" borderId="4" xfId="1" applyNumberFormat="1" applyFont="1" applyFill="1" applyBorder="1" applyAlignment="1" applyProtection="1">
      <alignment horizontal="center"/>
    </xf>
    <xf numFmtId="166" fontId="18" fillId="3" borderId="4" xfId="2" applyFont="1" applyFill="1" applyBorder="1" applyAlignment="1" applyProtection="1">
      <alignment horizontal="right"/>
    </xf>
    <xf numFmtId="10" fontId="19" fillId="3" borderId="4" xfId="3" applyNumberFormat="1" applyFont="1" applyFill="1" applyBorder="1" applyAlignment="1" applyProtection="1">
      <alignment horizontal="center"/>
    </xf>
    <xf numFmtId="0" fontId="18" fillId="3" borderId="4" xfId="0" applyFont="1" applyFill="1" applyBorder="1" applyAlignment="1" applyProtection="1">
      <alignment horizontal="center"/>
    </xf>
    <xf numFmtId="10" fontId="18" fillId="3" borderId="4" xfId="3" applyNumberFormat="1" applyFont="1" applyFill="1" applyBorder="1" applyAlignment="1" applyProtection="1">
      <alignment horizontal="center"/>
    </xf>
    <xf numFmtId="0" fontId="13" fillId="3" borderId="4" xfId="0" applyFont="1" applyFill="1" applyBorder="1" applyProtection="1"/>
    <xf numFmtId="10" fontId="13" fillId="3" borderId="4" xfId="3" applyNumberFormat="1" applyFont="1" applyFill="1" applyBorder="1" applyAlignment="1" applyProtection="1">
      <alignment horizontal="right"/>
    </xf>
    <xf numFmtId="0" fontId="13" fillId="3" borderId="5" xfId="0" applyFont="1" applyFill="1" applyBorder="1"/>
    <xf numFmtId="10" fontId="13" fillId="3" borderId="3" xfId="3" applyNumberFormat="1" applyFont="1" applyFill="1" applyBorder="1" applyAlignment="1" applyProtection="1">
      <alignment horizontal="left"/>
    </xf>
    <xf numFmtId="172" fontId="0" fillId="0" borderId="0" xfId="3" applyNumberFormat="1" applyFont="1"/>
    <xf numFmtId="166" fontId="4" fillId="2" borderId="0" xfId="2" applyFont="1" applyFill="1" applyProtection="1"/>
    <xf numFmtId="0" fontId="4" fillId="2" borderId="0" xfId="0" applyFont="1" applyFill="1" applyProtection="1"/>
    <xf numFmtId="166" fontId="4" fillId="2" borderId="0" xfId="0" applyNumberFormat="1" applyFont="1" applyFill="1"/>
    <xf numFmtId="166" fontId="6" fillId="2" borderId="0" xfId="2" applyFont="1" applyFill="1" applyBorder="1" applyAlignment="1" applyProtection="1">
      <alignment horizontal="center"/>
    </xf>
    <xf numFmtId="166" fontId="6" fillId="2" borderId="11" xfId="2" applyNumberFormat="1" applyFont="1" applyFill="1" applyBorder="1" applyAlignment="1" applyProtection="1">
      <alignment horizontal="right"/>
    </xf>
    <xf numFmtId="0" fontId="3" fillId="0" borderId="0" xfId="0" applyFont="1"/>
    <xf numFmtId="0" fontId="6" fillId="2" borderId="0" xfId="0" applyFont="1" applyFill="1" applyProtection="1"/>
    <xf numFmtId="0" fontId="6" fillId="2" borderId="0" xfId="0" applyFont="1" applyFill="1" applyAlignment="1">
      <alignment vertical="center"/>
    </xf>
    <xf numFmtId="10" fontId="6" fillId="2" borderId="0" xfId="0" applyNumberFormat="1" applyFont="1" applyFill="1" applyAlignment="1">
      <alignment horizontal="center" vertical="center"/>
    </xf>
    <xf numFmtId="173" fontId="0" fillId="0" borderId="0" xfId="3" applyNumberFormat="1" applyFont="1"/>
    <xf numFmtId="0" fontId="18" fillId="2" borderId="0" xfId="2" applyNumberFormat="1" applyFont="1" applyFill="1"/>
    <xf numFmtId="0" fontId="13" fillId="2" borderId="0" xfId="0" applyNumberFormat="1" applyFont="1" applyFill="1"/>
    <xf numFmtId="166" fontId="0" fillId="2" borderId="0" xfId="0" applyNumberFormat="1" applyFill="1" applyBorder="1"/>
    <xf numFmtId="0" fontId="5" fillId="2" borderId="0" xfId="0" applyFont="1" applyFill="1" applyAlignment="1" applyProtection="1">
      <alignment horizontal="right"/>
    </xf>
    <xf numFmtId="164" fontId="6" fillId="2" borderId="0" xfId="2" applyNumberFormat="1" applyFont="1" applyFill="1" applyProtection="1"/>
    <xf numFmtId="0" fontId="23" fillId="2" borderId="0" xfId="0" applyFont="1" applyFill="1" applyAlignment="1" applyProtection="1">
      <alignment horizontal="right"/>
    </xf>
    <xf numFmtId="0" fontId="24" fillId="2" borderId="0" xfId="0" applyFont="1" applyFill="1" applyAlignment="1" applyProtection="1">
      <alignment vertical="center"/>
    </xf>
    <xf numFmtId="0" fontId="25" fillId="2" borderId="0" xfId="0" applyFont="1" applyFill="1" applyAlignment="1" applyProtection="1">
      <alignment vertical="center"/>
    </xf>
    <xf numFmtId="0" fontId="25" fillId="2" borderId="0" xfId="0" applyFont="1" applyFill="1" applyProtection="1"/>
    <xf numFmtId="0" fontId="24" fillId="2" borderId="0" xfId="0" applyFont="1" applyFill="1" applyBorder="1" applyAlignment="1">
      <alignment horizontal="right" vertical="center"/>
    </xf>
    <xf numFmtId="0" fontId="26" fillId="2" borderId="0" xfId="0" applyFont="1" applyFill="1" applyAlignment="1">
      <alignment horizontal="right" vertical="center"/>
    </xf>
    <xf numFmtId="0" fontId="27" fillId="2" borderId="0" xfId="0" applyFont="1" applyFill="1" applyAlignment="1" applyProtection="1">
      <alignment horizontal="center"/>
    </xf>
    <xf numFmtId="0" fontId="25" fillId="2" borderId="0" xfId="0" applyFont="1" applyFill="1" applyBorder="1" applyProtection="1"/>
    <xf numFmtId="166" fontId="26" fillId="2" borderId="1" xfId="2" applyFont="1" applyFill="1" applyBorder="1" applyAlignment="1" applyProtection="1">
      <alignment horizontal="right"/>
    </xf>
    <xf numFmtId="10" fontId="26" fillId="2" borderId="1" xfId="3" applyNumberFormat="1" applyFont="1" applyFill="1" applyBorder="1" applyAlignment="1" applyProtection="1">
      <alignment horizontal="right"/>
    </xf>
    <xf numFmtId="0" fontId="22" fillId="2" borderId="0" xfId="0" applyFont="1" applyFill="1" applyBorder="1" applyAlignment="1" applyProtection="1">
      <alignment horizontal="right"/>
    </xf>
    <xf numFmtId="0" fontId="22" fillId="2" borderId="0" xfId="0" applyFont="1" applyFill="1" applyAlignment="1">
      <alignment horizontal="right"/>
    </xf>
    <xf numFmtId="0" fontId="22" fillId="2" borderId="0" xfId="0" applyFont="1" applyFill="1" applyAlignment="1" applyProtection="1">
      <alignment horizontal="right"/>
    </xf>
    <xf numFmtId="0" fontId="27" fillId="2" borderId="0" xfId="0" applyFont="1" applyFill="1" applyAlignment="1">
      <alignment horizontal="center"/>
    </xf>
    <xf numFmtId="0" fontId="27" fillId="2" borderId="0" xfId="0" applyFont="1" applyFill="1" applyAlignment="1" applyProtection="1">
      <alignment horizontal="right"/>
    </xf>
    <xf numFmtId="0" fontId="27" fillId="2" borderId="0" xfId="0" quotePrefix="1" applyFont="1" applyFill="1" applyAlignment="1" applyProtection="1">
      <alignment horizontal="right"/>
    </xf>
    <xf numFmtId="0" fontId="27" fillId="2" borderId="0" xfId="0" applyFont="1" applyFill="1" applyProtection="1"/>
    <xf numFmtId="167" fontId="6" fillId="2" borderId="0" xfId="1" applyFont="1" applyFill="1" applyAlignment="1" applyProtection="1">
      <alignment horizontal="center"/>
    </xf>
    <xf numFmtId="10" fontId="6" fillId="2" borderId="0" xfId="3" applyNumberFormat="1" applyFont="1" applyFill="1" applyAlignment="1" applyProtection="1">
      <alignment horizontal="center"/>
    </xf>
    <xf numFmtId="2" fontId="6" fillId="2" borderId="0" xfId="1" applyNumberFormat="1" applyFont="1" applyFill="1" applyAlignment="1" applyProtection="1">
      <alignment horizontal="center"/>
    </xf>
    <xf numFmtId="9" fontId="26" fillId="2" borderId="0" xfId="3" applyNumberFormat="1" applyFont="1" applyFill="1" applyBorder="1" applyAlignment="1" applyProtection="1">
      <alignment horizontal="right"/>
    </xf>
    <xf numFmtId="0" fontId="24" fillId="2" borderId="6" xfId="0" applyFont="1" applyFill="1" applyBorder="1" applyAlignment="1">
      <alignment vertical="top"/>
    </xf>
    <xf numFmtId="0" fontId="26" fillId="2" borderId="0" xfId="0" applyFont="1" applyFill="1" applyBorder="1" applyAlignment="1">
      <alignment horizontal="right"/>
    </xf>
    <xf numFmtId="0" fontId="26" fillId="2" borderId="0" xfId="0" applyFont="1" applyFill="1" applyAlignment="1">
      <alignment horizontal="right"/>
    </xf>
    <xf numFmtId="168" fontId="6" fillId="2" borderId="0" xfId="0" applyNumberFormat="1" applyFont="1" applyFill="1" applyProtection="1"/>
    <xf numFmtId="168" fontId="6" fillId="2" borderId="0" xfId="2" applyNumberFormat="1" applyFont="1" applyFill="1" applyProtection="1"/>
    <xf numFmtId="0" fontId="26" fillId="2" borderId="0" xfId="0" applyFont="1" applyFill="1" applyBorder="1" applyAlignment="1" applyProtection="1">
      <alignment horizontal="center"/>
    </xf>
    <xf numFmtId="0" fontId="26" fillId="2" borderId="0" xfId="0" applyFont="1" applyFill="1" applyBorder="1" applyAlignment="1">
      <alignment horizontal="center"/>
    </xf>
    <xf numFmtId="0" fontId="28" fillId="2" borderId="0" xfId="0" applyFont="1" applyFill="1" applyBorder="1"/>
    <xf numFmtId="0" fontId="13" fillId="2" borderId="0" xfId="0" applyFont="1" applyFill="1" applyBorder="1"/>
    <xf numFmtId="0" fontId="26" fillId="2" borderId="0" xfId="0" applyFont="1" applyFill="1" applyBorder="1" applyAlignment="1">
      <alignment horizontal="center" vertical="center"/>
    </xf>
    <xf numFmtId="0" fontId="24" fillId="2" borderId="0" xfId="0" applyFont="1" applyFill="1" applyAlignment="1" applyProtection="1">
      <alignment horizontal="center" vertical="center" wrapText="1"/>
    </xf>
    <xf numFmtId="166" fontId="6" fillId="2" borderId="0" xfId="2" applyNumberFormat="1" applyFont="1" applyFill="1" applyBorder="1" applyAlignment="1" applyProtection="1">
      <alignment horizontal="center"/>
    </xf>
    <xf numFmtId="173" fontId="0" fillId="0" borderId="0" xfId="0" applyNumberFormat="1"/>
    <xf numFmtId="0" fontId="0" fillId="0" borderId="0" xfId="0" applyAlignment="1">
      <alignment horizontal="center"/>
    </xf>
    <xf numFmtId="0" fontId="0" fillId="0" borderId="0" xfId="0" applyFill="1"/>
    <xf numFmtId="0" fontId="14" fillId="2" borderId="12" xfId="0" applyFont="1" applyFill="1" applyBorder="1" applyProtection="1"/>
    <xf numFmtId="0" fontId="0" fillId="2" borderId="13" xfId="0" applyFill="1" applyBorder="1"/>
    <xf numFmtId="0" fontId="6" fillId="2" borderId="0" xfId="0" applyFont="1" applyFill="1" applyBorder="1" applyAlignment="1">
      <alignment vertical="center"/>
    </xf>
    <xf numFmtId="0" fontId="26" fillId="2" borderId="0" xfId="0" applyFont="1" applyFill="1" applyBorder="1" applyAlignment="1" applyProtection="1">
      <alignment horizontal="center" vertical="center" wrapText="1"/>
    </xf>
    <xf numFmtId="0" fontId="32" fillId="2" borderId="0" xfId="0" applyFont="1" applyFill="1"/>
    <xf numFmtId="0" fontId="32" fillId="2" borderId="0" xfId="0" applyFont="1" applyFill="1" applyProtection="1"/>
    <xf numFmtId="0" fontId="19" fillId="2" borderId="0" xfId="0" applyFont="1" applyFill="1" applyProtection="1"/>
    <xf numFmtId="168" fontId="7" fillId="0" borderId="0" xfId="0" applyNumberFormat="1" applyFont="1"/>
    <xf numFmtId="166" fontId="7" fillId="0" borderId="0" xfId="2" applyFont="1"/>
    <xf numFmtId="166" fontId="7" fillId="0" borderId="0" xfId="0" applyNumberFormat="1" applyFont="1"/>
    <xf numFmtId="0" fontId="33" fillId="2" borderId="0" xfId="0" applyFont="1" applyFill="1" applyAlignment="1">
      <alignment horizontal="center"/>
    </xf>
    <xf numFmtId="0" fontId="13" fillId="2" borderId="0" xfId="0" applyFont="1" applyFill="1"/>
    <xf numFmtId="0" fontId="0" fillId="2" borderId="14" xfId="0" applyFill="1" applyBorder="1"/>
    <xf numFmtId="0" fontId="0" fillId="2" borderId="15" xfId="0" applyFill="1" applyBorder="1"/>
    <xf numFmtId="167" fontId="0" fillId="0" borderId="0" xfId="0" applyNumberFormat="1"/>
    <xf numFmtId="0" fontId="0" fillId="0" borderId="0" xfId="0" applyBorder="1"/>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left"/>
    </xf>
    <xf numFmtId="0" fontId="19" fillId="2" borderId="0" xfId="0" applyFont="1" applyFill="1" applyBorder="1" applyAlignment="1" applyProtection="1">
      <alignment horizontal="left" vertical="center"/>
    </xf>
    <xf numFmtId="0" fontId="19" fillId="2" borderId="0" xfId="0" applyFont="1" applyFill="1"/>
    <xf numFmtId="0" fontId="35" fillId="7" borderId="0" xfId="0" applyFont="1" applyFill="1"/>
    <xf numFmtId="0" fontId="35" fillId="7" borderId="0" xfId="0" applyFont="1" applyFill="1" applyAlignment="1">
      <alignment horizontal="left"/>
    </xf>
    <xf numFmtId="0" fontId="0" fillId="0" borderId="0" xfId="0" applyAlignment="1">
      <alignment vertical="top" wrapText="1"/>
    </xf>
    <xf numFmtId="0" fontId="35" fillId="8" borderId="0" xfId="0" applyFont="1" applyFill="1" applyAlignment="1">
      <alignment horizontal="right" vertical="top" wrapText="1"/>
    </xf>
    <xf numFmtId="0" fontId="35" fillId="8" borderId="0" xfId="0" applyFont="1" applyFill="1" applyAlignment="1">
      <alignment horizontal="left" vertical="top" wrapText="1"/>
    </xf>
    <xf numFmtId="0" fontId="35" fillId="8" borderId="0" xfId="0" applyFont="1" applyFill="1" applyAlignment="1">
      <alignment vertical="top" wrapText="1"/>
    </xf>
    <xf numFmtId="174" fontId="35" fillId="8" borderId="0" xfId="0" applyNumberFormat="1" applyFont="1" applyFill="1" applyAlignment="1">
      <alignment horizontal="right" vertical="top" wrapText="1"/>
    </xf>
    <xf numFmtId="0" fontId="35" fillId="8" borderId="0" xfId="0" applyFont="1" applyFill="1" applyAlignment="1">
      <alignment vertical="top"/>
    </xf>
    <xf numFmtId="0" fontId="37" fillId="9" borderId="0" xfId="4" applyNumberFormat="1" applyFont="1" applyFill="1" applyBorder="1" applyAlignment="1">
      <alignment horizontal="left" vertical="top"/>
    </xf>
    <xf numFmtId="3" fontId="37" fillId="10" borderId="0" xfId="0" applyNumberFormat="1" applyFont="1" applyFill="1" applyBorder="1" applyAlignment="1">
      <alignment horizontal="left"/>
    </xf>
    <xf numFmtId="0" fontId="0" fillId="0" borderId="17" xfId="0" applyBorder="1" applyAlignment="1">
      <alignment horizontal="left"/>
    </xf>
    <xf numFmtId="0" fontId="0" fillId="0" borderId="17" xfId="0" applyBorder="1"/>
    <xf numFmtId="173" fontId="0" fillId="11" borderId="17" xfId="0" applyNumberFormat="1" applyFill="1" applyBorder="1" applyAlignment="1">
      <alignment horizontal="right"/>
    </xf>
    <xf numFmtId="175" fontId="0" fillId="0" borderId="17" xfId="0" applyNumberFormat="1" applyBorder="1" applyAlignment="1">
      <alignment horizontal="right"/>
    </xf>
    <xf numFmtId="0" fontId="0" fillId="0" borderId="17" xfId="0" applyBorder="1" applyAlignment="1">
      <alignment horizontal="fill"/>
    </xf>
    <xf numFmtId="0" fontId="0" fillId="0" borderId="0" xfId="0" applyFont="1" applyAlignment="1">
      <alignment horizontal="left" vertical="top"/>
    </xf>
    <xf numFmtId="0" fontId="38" fillId="11" borderId="17" xfId="0" applyFont="1" applyFill="1" applyBorder="1" applyAlignment="1">
      <alignment horizontal="right"/>
    </xf>
    <xf numFmtId="0" fontId="39" fillId="0" borderId="0" xfId="0" applyFont="1"/>
    <xf numFmtId="0" fontId="39" fillId="0" borderId="0" xfId="0" applyFont="1" applyAlignment="1">
      <alignment horizontal="left"/>
    </xf>
    <xf numFmtId="4" fontId="0" fillId="11" borderId="17" xfId="0" applyNumberFormat="1" applyFill="1" applyBorder="1" applyAlignment="1">
      <alignment horizontal="right"/>
    </xf>
    <xf numFmtId="176" fontId="0" fillId="11" borderId="17" xfId="0" applyNumberFormat="1" applyFill="1" applyBorder="1" applyAlignment="1">
      <alignment horizontal="right"/>
    </xf>
    <xf numFmtId="177" fontId="0" fillId="11" borderId="17" xfId="0" applyNumberFormat="1" applyFill="1" applyBorder="1" applyAlignment="1">
      <alignment horizontal="right"/>
    </xf>
    <xf numFmtId="0" fontId="41" fillId="2" borderId="0" xfId="5" applyNumberFormat="1" applyFont="1" applyFill="1" applyBorder="1" applyAlignment="1">
      <alignment vertical="center"/>
    </xf>
    <xf numFmtId="0" fontId="41" fillId="2" borderId="0" xfId="0" applyFont="1" applyFill="1"/>
    <xf numFmtId="0" fontId="35" fillId="12" borderId="18" xfId="5" applyNumberFormat="1" applyFont="1" applyFill="1" applyBorder="1" applyAlignment="1">
      <alignment vertical="top"/>
    </xf>
    <xf numFmtId="0" fontId="35" fillId="12" borderId="19" xfId="5" applyNumberFormat="1" applyFont="1" applyFill="1" applyBorder="1" applyAlignment="1">
      <alignment horizontal="left" vertical="top"/>
    </xf>
    <xf numFmtId="0" fontId="35" fillId="12" borderId="19" xfId="5" applyNumberFormat="1" applyFont="1" applyFill="1" applyBorder="1" applyAlignment="1">
      <alignment horizontal="center" vertical="top"/>
    </xf>
    <xf numFmtId="0" fontId="35" fillId="12" borderId="20" xfId="5" applyNumberFormat="1" applyFont="1" applyFill="1" applyBorder="1" applyAlignment="1">
      <alignment horizontal="center" vertical="top"/>
    </xf>
    <xf numFmtId="0" fontId="41" fillId="2" borderId="21" xfId="5" applyNumberFormat="1" applyFont="1" applyFill="1" applyBorder="1" applyAlignment="1">
      <alignment vertical="center"/>
    </xf>
    <xf numFmtId="0" fontId="41" fillId="2" borderId="22" xfId="5" applyNumberFormat="1" applyFont="1" applyFill="1" applyBorder="1" applyAlignment="1">
      <alignment horizontal="left" vertical="center"/>
    </xf>
    <xf numFmtId="178" fontId="41" fillId="2" borderId="22" xfId="3" applyNumberFormat="1" applyFont="1" applyFill="1" applyBorder="1" applyAlignment="1">
      <alignment horizontal="center" vertical="center"/>
    </xf>
    <xf numFmtId="2" fontId="41" fillId="2" borderId="22" xfId="5" applyNumberFormat="1" applyFont="1" applyFill="1" applyBorder="1" applyAlignment="1">
      <alignment horizontal="center" vertical="center"/>
    </xf>
    <xf numFmtId="0" fontId="41" fillId="2" borderId="23" xfId="5" applyNumberFormat="1" applyFont="1" applyFill="1" applyBorder="1" applyAlignment="1">
      <alignment horizontal="center" vertical="center"/>
    </xf>
    <xf numFmtId="3" fontId="0" fillId="11" borderId="17" xfId="0" applyNumberFormat="1" applyFill="1" applyBorder="1" applyAlignment="1">
      <alignment horizontal="right"/>
    </xf>
    <xf numFmtId="0" fontId="43" fillId="9" borderId="0" xfId="4" applyNumberFormat="1" applyFont="1" applyFill="1" applyBorder="1" applyAlignment="1">
      <alignment horizontal="left" vertical="top"/>
    </xf>
    <xf numFmtId="0" fontId="0" fillId="11" borderId="17" xfId="0" applyFill="1" applyBorder="1" applyAlignment="1">
      <alignment horizontal="right"/>
    </xf>
    <xf numFmtId="175" fontId="38" fillId="10" borderId="17" xfId="0" applyNumberFormat="1" applyFont="1" applyFill="1" applyBorder="1" applyAlignment="1">
      <alignment horizontal="right"/>
    </xf>
    <xf numFmtId="0" fontId="41" fillId="2" borderId="24" xfId="5" applyNumberFormat="1" applyFont="1" applyFill="1" applyBorder="1" applyAlignment="1">
      <alignment vertical="center"/>
    </xf>
    <xf numFmtId="0" fontId="41" fillId="2" borderId="25" xfId="5" applyNumberFormat="1" applyFont="1" applyFill="1" applyBorder="1" applyAlignment="1">
      <alignment horizontal="left" vertical="center"/>
    </xf>
    <xf numFmtId="178" fontId="41" fillId="2" borderId="25" xfId="3" applyNumberFormat="1" applyFont="1" applyFill="1" applyBorder="1" applyAlignment="1">
      <alignment horizontal="center" vertical="center"/>
    </xf>
    <xf numFmtId="2" fontId="41" fillId="2" borderId="25" xfId="5" applyNumberFormat="1" applyFont="1" applyFill="1" applyBorder="1" applyAlignment="1">
      <alignment horizontal="center" vertical="center"/>
    </xf>
    <xf numFmtId="0" fontId="41" fillId="2" borderId="26" xfId="5" applyNumberFormat="1" applyFont="1" applyFill="1" applyBorder="1" applyAlignment="1">
      <alignment horizontal="center" vertical="center"/>
    </xf>
    <xf numFmtId="0" fontId="41" fillId="0" borderId="0" xfId="0" applyFont="1" applyAlignment="1"/>
    <xf numFmtId="0" fontId="41" fillId="0" borderId="0" xfId="0" applyFont="1"/>
    <xf numFmtId="0" fontId="39" fillId="2" borderId="0" xfId="0" applyFont="1" applyFill="1" applyAlignment="1">
      <alignment horizontal="left"/>
    </xf>
    <xf numFmtId="179" fontId="0" fillId="11" borderId="17" xfId="0" applyNumberFormat="1" applyFill="1" applyBorder="1" applyAlignment="1">
      <alignment horizontal="right"/>
    </xf>
    <xf numFmtId="0" fontId="0" fillId="0" borderId="27" xfId="0" applyBorder="1" applyAlignment="1">
      <alignment horizontal="left"/>
    </xf>
    <xf numFmtId="0" fontId="0" fillId="0" borderId="27" xfId="0" applyBorder="1"/>
    <xf numFmtId="3" fontId="0" fillId="11" borderId="27" xfId="0" applyNumberFormat="1" applyFill="1" applyBorder="1" applyAlignment="1">
      <alignment horizontal="right"/>
    </xf>
    <xf numFmtId="0" fontId="0" fillId="11" borderId="27" xfId="0" applyFill="1" applyBorder="1" applyAlignment="1">
      <alignment horizontal="right"/>
    </xf>
    <xf numFmtId="175" fontId="0" fillId="0" borderId="27" xfId="0" applyNumberFormat="1" applyBorder="1" applyAlignment="1">
      <alignment horizontal="right"/>
    </xf>
    <xf numFmtId="0" fontId="0" fillId="0" borderId="27" xfId="0" applyBorder="1" applyAlignment="1">
      <alignment horizontal="fill"/>
    </xf>
    <xf numFmtId="0" fontId="39" fillId="2" borderId="0" xfId="0" applyFont="1" applyFill="1"/>
    <xf numFmtId="0" fontId="0" fillId="0" borderId="28" xfId="0" applyBorder="1" applyAlignment="1">
      <alignment horizontal="left"/>
    </xf>
    <xf numFmtId="0" fontId="0" fillId="0" borderId="28" xfId="0" applyBorder="1"/>
    <xf numFmtId="3" fontId="0" fillId="11" borderId="28" xfId="0" applyNumberFormat="1" applyFill="1" applyBorder="1" applyAlignment="1">
      <alignment horizontal="right"/>
    </xf>
    <xf numFmtId="0" fontId="0" fillId="11" borderId="28" xfId="0" applyFill="1" applyBorder="1" applyAlignment="1">
      <alignment horizontal="right"/>
    </xf>
    <xf numFmtId="175" fontId="0" fillId="0" borderId="28" xfId="0" applyNumberFormat="1" applyBorder="1" applyAlignment="1">
      <alignment horizontal="right"/>
    </xf>
    <xf numFmtId="0" fontId="0" fillId="0" borderId="28" xfId="0" applyBorder="1" applyAlignment="1">
      <alignment horizontal="fill"/>
    </xf>
    <xf numFmtId="180" fontId="0" fillId="0" borderId="28" xfId="0" applyNumberFormat="1" applyBorder="1" applyAlignment="1">
      <alignment horizontal="right"/>
    </xf>
    <xf numFmtId="3" fontId="0" fillId="0" borderId="17" xfId="0" applyNumberFormat="1" applyBorder="1" applyAlignment="1">
      <alignment horizontal="right"/>
    </xf>
    <xf numFmtId="0" fontId="0" fillId="0" borderId="29" xfId="0" applyBorder="1" applyAlignment="1">
      <alignment horizontal="left"/>
    </xf>
    <xf numFmtId="0" fontId="0" fillId="0" borderId="29" xfId="0" applyBorder="1"/>
    <xf numFmtId="0" fontId="0" fillId="11" borderId="29" xfId="0" applyFill="1" applyBorder="1" applyAlignment="1">
      <alignment horizontal="right"/>
    </xf>
    <xf numFmtId="173" fontId="0" fillId="0" borderId="29" xfId="0" applyNumberFormat="1" applyBorder="1" applyAlignment="1">
      <alignment horizontal="right"/>
    </xf>
    <xf numFmtId="0" fontId="0" fillId="0" borderId="29" xfId="0" applyBorder="1" applyAlignment="1">
      <alignment horizontal="fill"/>
    </xf>
    <xf numFmtId="0" fontId="0" fillId="0" borderId="30" xfId="0" applyBorder="1" applyAlignment="1">
      <alignment horizontal="left"/>
    </xf>
    <xf numFmtId="0" fontId="0" fillId="0" borderId="30" xfId="0" applyBorder="1"/>
    <xf numFmtId="0" fontId="0" fillId="11" borderId="30" xfId="0" applyFill="1" applyBorder="1" applyAlignment="1">
      <alignment horizontal="right"/>
    </xf>
    <xf numFmtId="175" fontId="0" fillId="0" borderId="30" xfId="0" applyNumberFormat="1" applyBorder="1" applyAlignment="1">
      <alignment horizontal="right"/>
    </xf>
    <xf numFmtId="0" fontId="0" fillId="0" borderId="30" xfId="0" applyBorder="1" applyAlignment="1">
      <alignment horizontal="fill"/>
    </xf>
    <xf numFmtId="0" fontId="0" fillId="0" borderId="0" xfId="0" applyAlignment="1">
      <alignment horizontal="fill"/>
    </xf>
    <xf numFmtId="0" fontId="41" fillId="2" borderId="0" xfId="0" applyFont="1" applyFill="1" applyAlignment="1"/>
    <xf numFmtId="0" fontId="0" fillId="0" borderId="0" xfId="0" applyAlignment="1">
      <alignment horizontal="left" indent="1"/>
    </xf>
    <xf numFmtId="176" fontId="0" fillId="11" borderId="0" xfId="0" applyNumberFormat="1" applyFill="1" applyBorder="1" applyAlignment="1">
      <alignment horizontal="right"/>
    </xf>
    <xf numFmtId="179" fontId="0" fillId="11" borderId="0" xfId="0" applyNumberFormat="1" applyFill="1" applyBorder="1" applyAlignment="1">
      <alignment horizontal="right"/>
    </xf>
    <xf numFmtId="9" fontId="39" fillId="0" borderId="0" xfId="0" applyNumberFormat="1" applyFont="1"/>
    <xf numFmtId="3" fontId="0" fillId="11" borderId="0" xfId="0" applyNumberFormat="1" applyFill="1" applyBorder="1" applyAlignment="1">
      <alignment horizontal="right"/>
    </xf>
    <xf numFmtId="9" fontId="0" fillId="11" borderId="0" xfId="0" applyNumberFormat="1" applyFill="1" applyBorder="1" applyAlignment="1">
      <alignment horizontal="right"/>
    </xf>
    <xf numFmtId="3" fontId="0" fillId="0" borderId="0" xfId="0" applyNumberFormat="1"/>
    <xf numFmtId="0" fontId="39" fillId="4" borderId="0" xfId="0" applyFont="1" applyFill="1"/>
    <xf numFmtId="10" fontId="39" fillId="4" borderId="0" xfId="0" applyNumberFormat="1" applyFont="1" applyFill="1"/>
    <xf numFmtId="0" fontId="39" fillId="2" borderId="0" xfId="0" applyFont="1" applyFill="1" applyAlignment="1"/>
    <xf numFmtId="0" fontId="0" fillId="0" borderId="0" xfId="0" applyFont="1" applyAlignment="1">
      <alignment horizontal="left"/>
    </xf>
    <xf numFmtId="0" fontId="41" fillId="2" borderId="0" xfId="5" applyNumberFormat="1" applyFont="1" applyFill="1" applyBorder="1" applyAlignment="1">
      <alignment horizontal="left" vertical="center"/>
    </xf>
    <xf numFmtId="178" fontId="41" fillId="2" borderId="0" xfId="3" applyNumberFormat="1" applyFont="1" applyFill="1" applyBorder="1" applyAlignment="1">
      <alignment horizontal="center" vertical="center"/>
    </xf>
    <xf numFmtId="2" fontId="41" fillId="2" borderId="0" xfId="5" applyNumberFormat="1" applyFont="1" applyFill="1" applyBorder="1" applyAlignment="1">
      <alignment horizontal="center" vertical="center"/>
    </xf>
    <xf numFmtId="0" fontId="41" fillId="2" borderId="0" xfId="5" applyNumberFormat="1" applyFont="1" applyFill="1" applyBorder="1" applyAlignment="1">
      <alignment horizontal="center" vertical="center"/>
    </xf>
    <xf numFmtId="0" fontId="35" fillId="12" borderId="18" xfId="5" applyNumberFormat="1" applyFont="1" applyFill="1" applyBorder="1" applyAlignment="1">
      <alignment horizontal="left" vertical="top"/>
    </xf>
    <xf numFmtId="0" fontId="41" fillId="2" borderId="21" xfId="5" applyNumberFormat="1" applyFont="1" applyFill="1" applyBorder="1" applyAlignment="1">
      <alignment horizontal="left" vertical="center"/>
    </xf>
    <xf numFmtId="3" fontId="41" fillId="2" borderId="22" xfId="3" applyNumberFormat="1" applyFont="1" applyFill="1" applyBorder="1" applyAlignment="1">
      <alignment horizontal="center" vertical="center"/>
    </xf>
    <xf numFmtId="3" fontId="41" fillId="2" borderId="0" xfId="3" applyNumberFormat="1" applyFont="1" applyFill="1" applyBorder="1" applyAlignment="1">
      <alignment horizontal="center" vertical="center"/>
    </xf>
    <xf numFmtId="3" fontId="41" fillId="2" borderId="25" xfId="3" applyNumberFormat="1" applyFont="1" applyFill="1" applyBorder="1" applyAlignment="1">
      <alignment horizontal="center" vertical="center"/>
    </xf>
    <xf numFmtId="0" fontId="41" fillId="2" borderId="31" xfId="5" applyNumberFormat="1" applyFont="1" applyFill="1" applyBorder="1" applyAlignment="1">
      <alignment vertical="center"/>
    </xf>
    <xf numFmtId="0" fontId="41" fillId="2" borderId="32" xfId="5" applyNumberFormat="1" applyFont="1" applyFill="1" applyBorder="1" applyAlignment="1">
      <alignment horizontal="left" vertical="center"/>
    </xf>
    <xf numFmtId="3" fontId="41" fillId="2" borderId="32" xfId="3" applyNumberFormat="1" applyFont="1" applyFill="1" applyBorder="1" applyAlignment="1">
      <alignment horizontal="center" vertical="center"/>
    </xf>
    <xf numFmtId="2" fontId="41" fillId="2" borderId="32" xfId="5" applyNumberFormat="1" applyFont="1" applyFill="1" applyBorder="1" applyAlignment="1">
      <alignment horizontal="center" vertical="center"/>
    </xf>
    <xf numFmtId="0" fontId="41" fillId="2" borderId="33" xfId="5" applyNumberFormat="1" applyFont="1" applyFill="1" applyBorder="1" applyAlignment="1">
      <alignment horizontal="center" vertical="center"/>
    </xf>
    <xf numFmtId="173" fontId="41" fillId="2" borderId="22" xfId="5" applyNumberFormat="1" applyFont="1" applyFill="1" applyBorder="1" applyAlignment="1">
      <alignment horizontal="center" vertical="center"/>
    </xf>
    <xf numFmtId="173" fontId="41" fillId="2" borderId="23" xfId="5" applyNumberFormat="1" applyFont="1" applyFill="1" applyBorder="1" applyAlignment="1">
      <alignment horizontal="center" vertical="center"/>
    </xf>
    <xf numFmtId="0" fontId="45" fillId="5" borderId="0" xfId="0" applyFont="1" applyFill="1" applyAlignment="1">
      <alignment horizontal="right" vertical="top" wrapText="1"/>
    </xf>
    <xf numFmtId="0" fontId="45" fillId="5" borderId="0" xfId="0" applyFont="1" applyFill="1" applyAlignment="1">
      <alignment horizontal="left" vertical="top" wrapText="1"/>
    </xf>
    <xf numFmtId="0" fontId="45" fillId="5" borderId="0" xfId="0" applyFont="1" applyFill="1" applyAlignment="1">
      <alignment vertical="top" wrapText="1"/>
    </xf>
    <xf numFmtId="0" fontId="47" fillId="2" borderId="0" xfId="0" applyFont="1" applyFill="1" applyAlignment="1">
      <alignment horizontal="right"/>
    </xf>
    <xf numFmtId="0" fontId="47" fillId="2" borderId="0" xfId="4" applyNumberFormat="1" applyFont="1" applyFill="1" applyBorder="1" applyAlignment="1">
      <alignment horizontal="left" vertical="top"/>
    </xf>
    <xf numFmtId="0" fontId="0" fillId="13" borderId="34" xfId="0" applyFill="1" applyBorder="1" applyAlignment="1">
      <alignment horizontal="right"/>
    </xf>
    <xf numFmtId="0" fontId="37" fillId="13" borderId="34" xfId="4" applyNumberFormat="1" applyFont="1" applyFill="1" applyBorder="1" applyAlignment="1">
      <alignment horizontal="left" vertical="top"/>
    </xf>
    <xf numFmtId="3" fontId="37" fillId="13" borderId="34" xfId="0" applyNumberFormat="1" applyFont="1" applyFill="1" applyBorder="1" applyAlignment="1">
      <alignment horizontal="left"/>
    </xf>
    <xf numFmtId="10" fontId="37" fillId="13" borderId="34" xfId="3" applyNumberFormat="1" applyFont="1" applyFill="1" applyBorder="1" applyAlignment="1">
      <alignment horizontal="left"/>
    </xf>
    <xf numFmtId="0" fontId="43" fillId="13" borderId="34" xfId="4" applyNumberFormat="1" applyFont="1" applyFill="1" applyBorder="1" applyAlignment="1">
      <alignment horizontal="left" vertical="top"/>
    </xf>
    <xf numFmtId="3" fontId="43" fillId="13" borderId="34" xfId="0" applyNumberFormat="1" applyFont="1" applyFill="1" applyBorder="1" applyAlignment="1">
      <alignment horizontal="left"/>
    </xf>
    <xf numFmtId="3" fontId="37" fillId="13" borderId="34" xfId="3" applyNumberFormat="1" applyFont="1" applyFill="1" applyBorder="1" applyAlignment="1">
      <alignment horizontal="left"/>
    </xf>
    <xf numFmtId="3" fontId="37" fillId="13" borderId="34" xfId="1" applyNumberFormat="1" applyFont="1" applyFill="1" applyBorder="1" applyAlignment="1">
      <alignment horizontal="left"/>
    </xf>
    <xf numFmtId="0" fontId="37" fillId="13" borderId="34" xfId="0" applyNumberFormat="1" applyFont="1" applyFill="1" applyBorder="1" applyAlignment="1">
      <alignment horizontal="left"/>
    </xf>
    <xf numFmtId="15" fontId="37" fillId="13" borderId="34" xfId="0" applyNumberFormat="1" applyFont="1" applyFill="1" applyBorder="1" applyAlignment="1">
      <alignment horizontal="left"/>
    </xf>
    <xf numFmtId="173" fontId="37" fillId="13" borderId="34" xfId="0" applyNumberFormat="1" applyFont="1" applyFill="1" applyBorder="1" applyAlignment="1">
      <alignment horizontal="left"/>
    </xf>
    <xf numFmtId="181" fontId="37" fillId="13" borderId="34" xfId="0" applyNumberFormat="1" applyFont="1" applyFill="1" applyBorder="1" applyAlignment="1">
      <alignment horizontal="left"/>
    </xf>
    <xf numFmtId="4" fontId="37" fillId="13" borderId="34" xfId="0" applyNumberFormat="1" applyFont="1" applyFill="1" applyBorder="1" applyAlignment="1">
      <alignment horizontal="left"/>
    </xf>
    <xf numFmtId="0" fontId="42" fillId="13" borderId="34" xfId="0" applyFont="1" applyFill="1" applyBorder="1" applyAlignment="1">
      <alignment horizontal="right" vertical="top" wrapText="1"/>
    </xf>
    <xf numFmtId="0" fontId="42" fillId="13" borderId="34" xfId="0" applyFont="1" applyFill="1" applyBorder="1" applyAlignment="1">
      <alignment horizontal="left" vertical="top" wrapText="1"/>
    </xf>
    <xf numFmtId="0" fontId="42" fillId="13" borderId="34" xfId="0" applyFont="1" applyFill="1" applyBorder="1" applyAlignment="1">
      <alignment vertical="top" wrapText="1"/>
    </xf>
    <xf numFmtId="3" fontId="47" fillId="4" borderId="34" xfId="0" applyNumberFormat="1" applyFont="1" applyFill="1" applyBorder="1" applyAlignment="1" applyProtection="1">
      <alignment horizontal="left"/>
      <protection locked="0"/>
    </xf>
    <xf numFmtId="10" fontId="47" fillId="4" borderId="34" xfId="3" applyNumberFormat="1" applyFont="1" applyFill="1" applyBorder="1" applyAlignment="1" applyProtection="1">
      <alignment horizontal="left"/>
      <protection locked="0"/>
    </xf>
    <xf numFmtId="3" fontId="47" fillId="4" borderId="34" xfId="3" applyNumberFormat="1" applyFont="1" applyFill="1" applyBorder="1" applyAlignment="1" applyProtection="1">
      <alignment horizontal="left"/>
      <protection locked="0"/>
    </xf>
    <xf numFmtId="3" fontId="47" fillId="4" borderId="34" xfId="1" applyNumberFormat="1" applyFont="1" applyFill="1" applyBorder="1" applyAlignment="1" applyProtection="1">
      <alignment horizontal="left"/>
      <protection locked="0"/>
    </xf>
    <xf numFmtId="0" fontId="47" fillId="4" borderId="34" xfId="0" applyNumberFormat="1" applyFont="1" applyFill="1" applyBorder="1" applyAlignment="1" applyProtection="1">
      <alignment horizontal="left"/>
      <protection locked="0"/>
    </xf>
    <xf numFmtId="15" fontId="47" fillId="4" borderId="34" xfId="0" applyNumberFormat="1" applyFont="1" applyFill="1" applyBorder="1" applyAlignment="1" applyProtection="1">
      <alignment horizontal="left"/>
      <protection locked="0"/>
    </xf>
    <xf numFmtId="173" fontId="47" fillId="4" borderId="34" xfId="0" applyNumberFormat="1" applyFont="1" applyFill="1" applyBorder="1" applyAlignment="1" applyProtection="1">
      <alignment horizontal="left"/>
      <protection locked="0"/>
    </xf>
    <xf numFmtId="181" fontId="47" fillId="4" borderId="34" xfId="0" applyNumberFormat="1" applyFont="1" applyFill="1" applyBorder="1" applyAlignment="1" applyProtection="1">
      <alignment horizontal="left"/>
      <protection locked="0"/>
    </xf>
    <xf numFmtId="4" fontId="47" fillId="4" borderId="34" xfId="0" applyNumberFormat="1" applyFont="1" applyFill="1" applyBorder="1" applyAlignment="1" applyProtection="1">
      <alignment horizontal="left"/>
      <protection locked="0"/>
    </xf>
    <xf numFmtId="0" fontId="0" fillId="2" borderId="35" xfId="0" applyFill="1" applyBorder="1"/>
    <xf numFmtId="0" fontId="49" fillId="2" borderId="35" xfId="0" applyFont="1" applyFill="1" applyBorder="1"/>
    <xf numFmtId="22" fontId="0" fillId="2" borderId="35" xfId="0" applyNumberFormat="1" applyFill="1" applyBorder="1"/>
    <xf numFmtId="0" fontId="2" fillId="2" borderId="0" xfId="0" applyFont="1" applyFill="1" applyBorder="1"/>
    <xf numFmtId="0" fontId="2" fillId="2" borderId="36" xfId="0" applyFont="1" applyFill="1" applyBorder="1"/>
    <xf numFmtId="3" fontId="0" fillId="2" borderId="36" xfId="0" applyNumberFormat="1" applyFill="1" applyBorder="1" applyAlignment="1">
      <alignment horizontal="right"/>
    </xf>
    <xf numFmtId="0" fontId="0" fillId="2" borderId="36" xfId="0" applyFill="1" applyBorder="1" applyAlignment="1">
      <alignment horizontal="right"/>
    </xf>
    <xf numFmtId="10" fontId="0" fillId="2" borderId="36" xfId="0" applyNumberFormat="1" applyFill="1" applyBorder="1" applyAlignment="1">
      <alignment horizontal="right"/>
    </xf>
    <xf numFmtId="165" fontId="0" fillId="2" borderId="36" xfId="0" applyNumberFormat="1" applyFill="1" applyBorder="1" applyAlignment="1">
      <alignment horizontal="right"/>
    </xf>
    <xf numFmtId="166" fontId="0" fillId="2" borderId="36" xfId="0" applyNumberFormat="1" applyFill="1" applyBorder="1" applyAlignment="1">
      <alignment horizontal="right"/>
    </xf>
    <xf numFmtId="0" fontId="0" fillId="2" borderId="36" xfId="0" applyFill="1" applyBorder="1"/>
    <xf numFmtId="10" fontId="0" fillId="2" borderId="36" xfId="0" applyNumberFormat="1" applyFill="1" applyBorder="1"/>
    <xf numFmtId="9" fontId="0" fillId="2" borderId="36" xfId="0" applyNumberFormat="1" applyFill="1" applyBorder="1"/>
    <xf numFmtId="167" fontId="0" fillId="2" borderId="36" xfId="0" applyNumberFormat="1" applyFill="1" applyBorder="1" applyAlignment="1">
      <alignment horizontal="right"/>
    </xf>
    <xf numFmtId="1" fontId="0" fillId="2" borderId="36" xfId="0" applyNumberFormat="1" applyFill="1" applyBorder="1" applyAlignment="1">
      <alignment horizontal="right"/>
    </xf>
    <xf numFmtId="2" fontId="0" fillId="2" borderId="36" xfId="0" applyNumberFormat="1" applyFill="1" applyBorder="1" applyAlignment="1">
      <alignment horizontal="right"/>
    </xf>
    <xf numFmtId="2" fontId="0" fillId="2" borderId="36" xfId="0" applyNumberFormat="1" applyFill="1" applyBorder="1"/>
    <xf numFmtId="166" fontId="0" fillId="2" borderId="36" xfId="0" applyNumberFormat="1" applyFill="1" applyBorder="1" applyAlignment="1">
      <alignment horizontal="center"/>
    </xf>
    <xf numFmtId="0" fontId="0" fillId="2" borderId="36" xfId="0" applyFill="1" applyBorder="1" applyAlignment="1">
      <alignment horizontal="center"/>
    </xf>
    <xf numFmtId="173" fontId="0" fillId="2" borderId="36" xfId="3" applyNumberFormat="1" applyFont="1" applyFill="1" applyBorder="1" applyAlignment="1">
      <alignment horizontal="right"/>
    </xf>
    <xf numFmtId="166" fontId="0" fillId="2" borderId="36" xfId="2" applyFont="1" applyFill="1" applyBorder="1" applyAlignment="1">
      <alignment horizontal="right"/>
    </xf>
    <xf numFmtId="0" fontId="50" fillId="2" borderId="36" xfId="0" applyFont="1" applyFill="1" applyBorder="1"/>
    <xf numFmtId="0" fontId="12" fillId="2" borderId="36" xfId="0" applyFont="1" applyFill="1" applyBorder="1"/>
    <xf numFmtId="0" fontId="51" fillId="2" borderId="36" xfId="0" applyFont="1" applyFill="1" applyBorder="1"/>
    <xf numFmtId="0" fontId="46" fillId="2" borderId="36" xfId="0" applyFont="1" applyFill="1" applyBorder="1"/>
    <xf numFmtId="0" fontId="2" fillId="2" borderId="36" xfId="0" applyFont="1" applyFill="1" applyBorder="1" applyAlignment="1">
      <alignment horizontal="center"/>
    </xf>
    <xf numFmtId="166" fontId="2" fillId="2" borderId="36" xfId="0" applyNumberFormat="1" applyFont="1" applyFill="1" applyBorder="1" applyAlignment="1">
      <alignment horizontal="center"/>
    </xf>
    <xf numFmtId="0" fontId="0" fillId="2" borderId="39" xfId="0" applyFill="1" applyBorder="1"/>
    <xf numFmtId="0" fontId="0" fillId="2" borderId="40" xfId="0" applyFill="1" applyBorder="1"/>
    <xf numFmtId="0" fontId="0" fillId="2" borderId="41" xfId="0" applyFill="1" applyBorder="1"/>
    <xf numFmtId="0" fontId="0" fillId="2" borderId="42" xfId="0" applyFill="1" applyBorder="1"/>
    <xf numFmtId="0" fontId="0" fillId="2" borderId="43" xfId="0" applyFill="1" applyBorder="1"/>
    <xf numFmtId="0" fontId="0" fillId="2" borderId="37" xfId="0" applyFill="1" applyBorder="1"/>
    <xf numFmtId="22" fontId="0" fillId="2" borderId="0" xfId="0" applyNumberFormat="1" applyFill="1" applyBorder="1"/>
    <xf numFmtId="0" fontId="0" fillId="2" borderId="38" xfId="0" applyFill="1" applyBorder="1"/>
    <xf numFmtId="0" fontId="48" fillId="2" borderId="0" xfId="0" applyFont="1" applyFill="1" applyBorder="1"/>
    <xf numFmtId="0" fontId="0" fillId="2" borderId="0" xfId="0" applyFill="1" applyBorder="1" applyAlignment="1">
      <alignment horizontal="right"/>
    </xf>
    <xf numFmtId="0" fontId="0" fillId="2" borderId="44" xfId="0" applyFill="1" applyBorder="1"/>
    <xf numFmtId="0" fontId="0" fillId="2" borderId="16" xfId="0" applyFill="1" applyBorder="1"/>
    <xf numFmtId="0" fontId="0" fillId="2" borderId="45" xfId="0" applyFill="1" applyBorder="1"/>
    <xf numFmtId="0" fontId="2" fillId="2" borderId="0" xfId="0" applyFont="1" applyFill="1" applyBorder="1" applyAlignment="1">
      <alignment horizontal="right"/>
    </xf>
    <xf numFmtId="173" fontId="0" fillId="2" borderId="0" xfId="0" applyNumberFormat="1" applyFill="1" applyBorder="1"/>
    <xf numFmtId="0" fontId="28" fillId="2" borderId="0" xfId="0" applyFont="1" applyFill="1" applyAlignment="1" applyProtection="1">
      <alignment horizontal="left" vertical="top" wrapText="1"/>
    </xf>
    <xf numFmtId="0" fontId="12" fillId="2" borderId="0" xfId="0" applyFont="1" applyFill="1" applyBorder="1" applyAlignment="1">
      <alignment horizontal="left" vertical="center" wrapText="1"/>
    </xf>
    <xf numFmtId="0" fontId="0" fillId="14" borderId="0" xfId="0" applyFill="1" applyProtection="1"/>
    <xf numFmtId="9" fontId="0" fillId="0" borderId="0" xfId="0" applyNumberFormat="1" applyFill="1"/>
    <xf numFmtId="166" fontId="0" fillId="0" borderId="0" xfId="0" applyNumberFormat="1" applyFill="1"/>
    <xf numFmtId="182" fontId="0" fillId="0" borderId="0" xfId="0" applyNumberFormat="1" applyFill="1"/>
    <xf numFmtId="165" fontId="0" fillId="0" borderId="0" xfId="0" applyNumberFormat="1" applyFill="1"/>
    <xf numFmtId="166" fontId="0" fillId="0" borderId="0" xfId="2" applyFont="1" applyFill="1"/>
    <xf numFmtId="0" fontId="0" fillId="0" borderId="0" xfId="0" applyFill="1" applyAlignment="1">
      <alignment horizontal="center"/>
    </xf>
    <xf numFmtId="0" fontId="24" fillId="2" borderId="0" xfId="0" applyFont="1" applyFill="1" applyBorder="1" applyAlignment="1" applyProtection="1">
      <alignment horizontal="center" vertical="center" wrapText="1"/>
    </xf>
    <xf numFmtId="168" fontId="11" fillId="4" borderId="34" xfId="2" applyNumberFormat="1" applyFont="1" applyFill="1" applyBorder="1" applyAlignment="1" applyProtection="1">
      <alignment horizontal="right"/>
      <protection locked="0"/>
    </xf>
    <xf numFmtId="10" fontId="6" fillId="2" borderId="0" xfId="3" applyNumberFormat="1" applyFont="1" applyFill="1" applyBorder="1" applyAlignment="1">
      <alignment horizontal="center" vertical="center"/>
    </xf>
    <xf numFmtId="0" fontId="14" fillId="2" borderId="0" xfId="0" applyFont="1" applyFill="1" applyBorder="1" applyProtection="1"/>
    <xf numFmtId="0" fontId="5" fillId="2" borderId="34" xfId="0" applyFont="1" applyFill="1" applyBorder="1"/>
    <xf numFmtId="0" fontId="24" fillId="2" borderId="34" xfId="0" applyFont="1" applyFill="1" applyBorder="1" applyAlignment="1">
      <alignment horizontal="right" vertical="center"/>
    </xf>
    <xf numFmtId="0" fontId="28" fillId="2" borderId="0" xfId="0" applyFont="1" applyFill="1" applyBorder="1" applyProtection="1"/>
    <xf numFmtId="168" fontId="6" fillId="2" borderId="0" xfId="2" applyNumberFormat="1" applyFont="1" applyFill="1" applyBorder="1"/>
    <xf numFmtId="168" fontId="6" fillId="2" borderId="0" xfId="2" applyNumberFormat="1" applyFont="1" applyFill="1" applyBorder="1" applyAlignment="1">
      <alignment horizontal="center"/>
    </xf>
    <xf numFmtId="0" fontId="26" fillId="2" borderId="34" xfId="0" applyFont="1" applyFill="1" applyBorder="1" applyAlignment="1">
      <alignment horizontal="center"/>
    </xf>
    <xf numFmtId="0" fontId="6" fillId="2" borderId="34" xfId="0" applyFont="1" applyFill="1" applyBorder="1" applyProtection="1"/>
    <xf numFmtId="0" fontId="26" fillId="2" borderId="34" xfId="0" applyFont="1" applyFill="1" applyBorder="1" applyAlignment="1" applyProtection="1">
      <alignment horizontal="center"/>
    </xf>
    <xf numFmtId="0" fontId="6" fillId="2" borderId="34" xfId="0" applyFont="1" applyFill="1" applyBorder="1" applyAlignment="1" applyProtection="1">
      <alignment horizontal="center"/>
    </xf>
    <xf numFmtId="0" fontId="0" fillId="2" borderId="34" xfId="0" applyFill="1" applyBorder="1" applyAlignment="1" applyProtection="1">
      <alignment horizontal="center"/>
    </xf>
    <xf numFmtId="0" fontId="0" fillId="2" borderId="34" xfId="0" applyFill="1" applyBorder="1" applyProtection="1"/>
    <xf numFmtId="0" fontId="25" fillId="2" borderId="34" xfId="0" applyFont="1" applyFill="1" applyBorder="1"/>
    <xf numFmtId="168" fontId="11" fillId="6" borderId="34" xfId="2" applyNumberFormat="1" applyFont="1" applyFill="1" applyBorder="1" applyAlignment="1" applyProtection="1">
      <alignment horizontal="right"/>
      <protection locked="0"/>
    </xf>
    <xf numFmtId="168" fontId="11" fillId="2" borderId="34" xfId="2" applyNumberFormat="1" applyFont="1" applyFill="1" applyBorder="1" applyAlignment="1" applyProtection="1">
      <alignment horizontal="right"/>
      <protection locked="0"/>
    </xf>
    <xf numFmtId="0" fontId="24" fillId="2" borderId="0" xfId="0" applyFont="1" applyFill="1" applyBorder="1" applyAlignment="1" applyProtection="1">
      <alignment horizontal="center"/>
    </xf>
    <xf numFmtId="169" fontId="24" fillId="2" borderId="0" xfId="1" applyNumberFormat="1" applyFont="1" applyFill="1" applyBorder="1" applyAlignment="1" applyProtection="1">
      <alignment horizontal="right"/>
    </xf>
    <xf numFmtId="0" fontId="24" fillId="2" borderId="0" xfId="0" applyFont="1" applyFill="1" applyBorder="1" applyAlignment="1" applyProtection="1">
      <alignment horizontal="right"/>
    </xf>
    <xf numFmtId="168" fontId="11" fillId="4" borderId="34" xfId="2" applyNumberFormat="1" applyFont="1" applyFill="1" applyBorder="1" applyAlignment="1" applyProtection="1">
      <alignment horizontal="right"/>
    </xf>
    <xf numFmtId="168" fontId="11" fillId="2" borderId="34" xfId="2" applyNumberFormat="1" applyFont="1" applyFill="1" applyBorder="1" applyAlignment="1" applyProtection="1">
      <alignment horizontal="right"/>
    </xf>
    <xf numFmtId="0" fontId="24" fillId="2" borderId="0" xfId="0" applyFont="1" applyFill="1" applyBorder="1" applyAlignment="1" applyProtection="1">
      <alignment horizontal="right" wrapText="1"/>
    </xf>
    <xf numFmtId="168" fontId="28" fillId="2" borderId="0" xfId="2" applyNumberFormat="1" applyFont="1" applyFill="1" applyAlignment="1" applyProtection="1">
      <alignment horizontal="left" vertical="top" wrapText="1"/>
    </xf>
    <xf numFmtId="0" fontId="26" fillId="2" borderId="34" xfId="0" applyFont="1" applyFill="1" applyBorder="1" applyAlignment="1">
      <alignment horizontal="right"/>
    </xf>
    <xf numFmtId="168" fontId="24" fillId="2" borderId="0" xfId="2" applyNumberFormat="1" applyFont="1" applyFill="1" applyAlignment="1" applyProtection="1">
      <alignment horizontal="center" vertical="center" wrapText="1"/>
    </xf>
    <xf numFmtId="0" fontId="0" fillId="2" borderId="0" xfId="0" applyFill="1" applyAlignment="1" applyProtection="1">
      <alignment horizontal="center" vertical="center"/>
    </xf>
    <xf numFmtId="0" fontId="0" fillId="2" borderId="0" xfId="0" applyFill="1" applyAlignment="1" applyProtection="1">
      <alignment horizontal="center" vertical="center" wrapText="1"/>
    </xf>
    <xf numFmtId="168" fontId="52" fillId="2" borderId="0" xfId="2" applyNumberFormat="1" applyFont="1" applyFill="1" applyBorder="1" applyAlignment="1" applyProtection="1">
      <alignment horizontal="center" vertical="center" wrapText="1"/>
    </xf>
    <xf numFmtId="0" fontId="0" fillId="2" borderId="34" xfId="0" applyFill="1" applyBorder="1"/>
    <xf numFmtId="168" fontId="12" fillId="2" borderId="34" xfId="0" applyNumberFormat="1" applyFont="1" applyFill="1" applyBorder="1"/>
    <xf numFmtId="0" fontId="22" fillId="2" borderId="34" xfId="0" applyFont="1" applyFill="1" applyBorder="1" applyAlignment="1">
      <alignment horizontal="right"/>
    </xf>
    <xf numFmtId="168" fontId="15" fillId="2" borderId="34" xfId="2" applyNumberFormat="1" applyFont="1" applyFill="1" applyBorder="1" applyAlignment="1" applyProtection="1">
      <alignment horizontal="right"/>
    </xf>
    <xf numFmtId="168" fontId="15" fillId="4" borderId="34" xfId="2" applyNumberFormat="1" applyFont="1" applyFill="1" applyBorder="1" applyAlignment="1" applyProtection="1">
      <alignment horizontal="right"/>
      <protection locked="0"/>
    </xf>
    <xf numFmtId="168" fontId="34" fillId="2" borderId="0" xfId="2" applyNumberFormat="1" applyFont="1" applyFill="1" applyAlignment="1" applyProtection="1">
      <alignment horizontal="left" vertical="top" wrapText="1"/>
    </xf>
    <xf numFmtId="0" fontId="34" fillId="2" borderId="0" xfId="0" applyFont="1" applyFill="1" applyAlignment="1" applyProtection="1">
      <alignment horizontal="left" vertical="top" wrapText="1"/>
    </xf>
    <xf numFmtId="168" fontId="16" fillId="2" borderId="0" xfId="2" applyNumberFormat="1" applyFont="1" applyFill="1" applyAlignment="1" applyProtection="1">
      <alignment horizontal="center" vertical="center" wrapText="1"/>
    </xf>
    <xf numFmtId="0" fontId="28" fillId="2" borderId="0" xfId="0" applyFont="1" applyFill="1" applyAlignment="1" applyProtection="1">
      <alignment vertical="top" wrapText="1"/>
    </xf>
    <xf numFmtId="0" fontId="5" fillId="2" borderId="0" xfId="0" applyFont="1" applyFill="1" applyBorder="1" applyAlignment="1">
      <alignment horizontal="right"/>
    </xf>
    <xf numFmtId="0" fontId="5" fillId="2" borderId="34" xfId="0" applyFont="1" applyFill="1" applyBorder="1" applyAlignment="1">
      <alignment horizontal="right"/>
    </xf>
    <xf numFmtId="0" fontId="56" fillId="2" borderId="0" xfId="0" applyFont="1" applyFill="1" applyAlignment="1" applyProtection="1">
      <alignment horizontal="right"/>
    </xf>
    <xf numFmtId="166" fontId="18" fillId="2" borderId="0" xfId="2" applyFont="1" applyFill="1" applyProtection="1"/>
    <xf numFmtId="0" fontId="56" fillId="2" borderId="0" xfId="0" quotePrefix="1" applyFont="1" applyFill="1" applyAlignment="1" applyProtection="1">
      <alignment horizontal="right"/>
    </xf>
    <xf numFmtId="166" fontId="19" fillId="2" borderId="0" xfId="2" applyFont="1" applyFill="1" applyProtection="1"/>
    <xf numFmtId="166" fontId="19" fillId="2" borderId="0" xfId="0" applyNumberFormat="1" applyFont="1" applyFill="1"/>
    <xf numFmtId="0" fontId="6" fillId="4" borderId="34" xfId="1" applyNumberFormat="1" applyFont="1" applyFill="1" applyBorder="1" applyAlignment="1" applyProtection="1">
      <alignment horizontal="center"/>
      <protection locked="0"/>
    </xf>
    <xf numFmtId="0" fontId="28" fillId="4" borderId="34" xfId="2" applyNumberFormat="1" applyFont="1" applyFill="1" applyBorder="1" applyAlignment="1">
      <alignment horizontal="left"/>
    </xf>
    <xf numFmtId="0" fontId="0" fillId="4" borderId="34" xfId="2" applyNumberFormat="1" applyFont="1" applyFill="1" applyBorder="1" applyAlignment="1">
      <alignment horizontal="center"/>
    </xf>
    <xf numFmtId="166" fontId="0" fillId="4" borderId="34" xfId="2" applyFont="1" applyFill="1" applyBorder="1"/>
    <xf numFmtId="166" fontId="0" fillId="4" borderId="49" xfId="2" applyFont="1" applyFill="1" applyBorder="1"/>
    <xf numFmtId="168" fontId="11" fillId="2" borderId="46" xfId="2" applyNumberFormat="1" applyFont="1" applyFill="1" applyBorder="1" applyAlignment="1" applyProtection="1">
      <alignment horizontal="right"/>
    </xf>
    <xf numFmtId="168" fontId="11" fillId="4" borderId="46" xfId="2" applyNumberFormat="1" applyFont="1" applyFill="1" applyBorder="1" applyAlignment="1" applyProtection="1">
      <alignment horizontal="right"/>
    </xf>
    <xf numFmtId="168" fontId="15" fillId="2" borderId="46" xfId="2"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0" fontId="19" fillId="2" borderId="0" xfId="0" applyFont="1" applyFill="1" applyBorder="1" applyAlignment="1" applyProtection="1">
      <alignment horizontal="center"/>
    </xf>
    <xf numFmtId="0" fontId="54" fillId="2" borderId="0" xfId="0" applyFont="1" applyFill="1" applyAlignment="1" applyProtection="1">
      <alignment horizontal="left" vertical="top" wrapText="1"/>
    </xf>
    <xf numFmtId="168" fontId="54" fillId="2" borderId="0" xfId="2" applyNumberFormat="1" applyFont="1" applyFill="1" applyAlignment="1" applyProtection="1">
      <alignment horizontal="left" vertical="top" wrapText="1"/>
    </xf>
    <xf numFmtId="168" fontId="18" fillId="2" borderId="34" xfId="2" applyNumberFormat="1" applyFont="1" applyFill="1" applyBorder="1" applyAlignment="1" applyProtection="1">
      <alignment horizontal="right"/>
    </xf>
    <xf numFmtId="168" fontId="19" fillId="2" borderId="0" xfId="2" applyNumberFormat="1" applyFont="1" applyFill="1" applyAlignment="1" applyProtection="1">
      <alignment horizontal="center" vertical="center" wrapText="1"/>
    </xf>
    <xf numFmtId="168" fontId="55" fillId="2" borderId="0" xfId="2" applyNumberFormat="1" applyFont="1" applyFill="1" applyBorder="1" applyAlignment="1" applyProtection="1">
      <alignment horizontal="center" vertical="center" wrapText="1"/>
    </xf>
    <xf numFmtId="169" fontId="18" fillId="2" borderId="34" xfId="1" applyNumberFormat="1" applyFont="1" applyFill="1" applyBorder="1" applyAlignment="1" applyProtection="1">
      <alignment horizontal="center"/>
    </xf>
    <xf numFmtId="0" fontId="13" fillId="2" borderId="0" xfId="0" applyFont="1" applyFill="1" applyAlignment="1" applyProtection="1">
      <alignment horizontal="left"/>
    </xf>
    <xf numFmtId="169" fontId="11" fillId="6" borderId="49" xfId="1" applyNumberFormat="1" applyFont="1" applyFill="1" applyBorder="1" applyAlignment="1" applyProtection="1">
      <alignment horizontal="center"/>
    </xf>
    <xf numFmtId="0" fontId="28" fillId="6" borderId="49" xfId="0" applyFont="1" applyFill="1" applyBorder="1" applyAlignment="1" applyProtection="1">
      <alignment horizontal="center" vertical="top" wrapText="1"/>
    </xf>
    <xf numFmtId="169" fontId="11" fillId="6" borderId="0" xfId="1" applyNumberFormat="1" applyFont="1" applyFill="1" applyBorder="1" applyAlignment="1" applyProtection="1">
      <alignment horizontal="center"/>
    </xf>
    <xf numFmtId="165" fontId="4" fillId="2" borderId="0" xfId="0" applyNumberFormat="1" applyFont="1" applyFill="1" applyAlignment="1" applyProtection="1">
      <alignment horizontal="center"/>
    </xf>
    <xf numFmtId="0" fontId="26" fillId="2" borderId="0" xfId="0" applyFont="1" applyFill="1" applyAlignment="1" applyProtection="1">
      <alignment horizontal="right" vertical="center"/>
    </xf>
    <xf numFmtId="168" fontId="11" fillId="2" borderId="0" xfId="2" applyNumberFormat="1" applyFont="1" applyFill="1" applyBorder="1" applyAlignment="1" applyProtection="1">
      <alignment horizontal="right"/>
    </xf>
    <xf numFmtId="169" fontId="11" fillId="2" borderId="0" xfId="1" applyNumberFormat="1" applyFont="1" applyFill="1" applyBorder="1" applyAlignment="1" applyProtection="1">
      <alignment horizontal="right"/>
    </xf>
    <xf numFmtId="169" fontId="13" fillId="2" borderId="0" xfId="0" applyNumberFormat="1" applyFont="1" applyFill="1" applyBorder="1" applyProtection="1"/>
    <xf numFmtId="165" fontId="19" fillId="2" borderId="0" xfId="0" applyNumberFormat="1" applyFont="1" applyFill="1" applyAlignment="1" applyProtection="1">
      <alignment horizontal="center"/>
    </xf>
    <xf numFmtId="0" fontId="24" fillId="2" borderId="0" xfId="0" applyFont="1" applyFill="1" applyBorder="1" applyAlignment="1" applyProtection="1">
      <alignment horizontal="center" vertical="center"/>
    </xf>
    <xf numFmtId="0" fontId="24" fillId="2" borderId="34" xfId="0" applyFont="1" applyFill="1" applyBorder="1" applyProtection="1"/>
    <xf numFmtId="0" fontId="24" fillId="2" borderId="0" xfId="0" applyFont="1" applyFill="1" applyBorder="1" applyProtection="1"/>
    <xf numFmtId="0" fontId="16" fillId="4" borderId="34" xfId="0" applyFont="1" applyFill="1" applyBorder="1" applyProtection="1"/>
    <xf numFmtId="0" fontId="18" fillId="2" borderId="0" xfId="2" applyNumberFormat="1" applyFont="1" applyFill="1" applyProtection="1"/>
    <xf numFmtId="0" fontId="53" fillId="2" borderId="0" xfId="0" applyFont="1" applyFill="1" applyProtection="1"/>
    <xf numFmtId="166" fontId="8" fillId="2" borderId="0" xfId="2" applyFont="1" applyFill="1" applyBorder="1" applyAlignment="1" applyProtection="1">
      <alignment horizontal="center"/>
    </xf>
    <xf numFmtId="0" fontId="28" fillId="2" borderId="0" xfId="0" applyFont="1" applyFill="1" applyAlignment="1" applyProtection="1">
      <alignment horizontal="left" vertical="top" wrapText="1"/>
    </xf>
    <xf numFmtId="0" fontId="13" fillId="2" borderId="0" xfId="0" applyFont="1" applyFill="1" applyAlignment="1">
      <alignment horizontal="left"/>
    </xf>
    <xf numFmtId="0" fontId="9" fillId="2" borderId="0" xfId="0" applyFont="1" applyFill="1" applyBorder="1" applyProtection="1"/>
    <xf numFmtId="0" fontId="24" fillId="2" borderId="49" xfId="0" applyFont="1" applyFill="1" applyBorder="1" applyProtection="1"/>
    <xf numFmtId="0" fontId="4" fillId="2" borderId="0" xfId="0" applyFont="1" applyFill="1" applyAlignment="1" applyProtection="1">
      <alignment horizontal="center" vertical="center" wrapText="1"/>
    </xf>
    <xf numFmtId="0" fontId="0" fillId="2" borderId="0" xfId="0" applyFont="1" applyFill="1" applyProtection="1"/>
    <xf numFmtId="0" fontId="57" fillId="2" borderId="0" xfId="0" applyFont="1" applyFill="1" applyAlignment="1" applyProtection="1">
      <alignment horizontal="center" vertical="center" wrapText="1"/>
    </xf>
    <xf numFmtId="0" fontId="0" fillId="2" borderId="0" xfId="0" applyFont="1" applyFill="1"/>
    <xf numFmtId="165" fontId="18" fillId="2" borderId="0" xfId="0" applyNumberFormat="1" applyFont="1" applyFill="1" applyAlignment="1">
      <alignment horizontal="center"/>
    </xf>
    <xf numFmtId="165" fontId="18" fillId="2" borderId="0" xfId="0" applyNumberFormat="1" applyFont="1" applyFill="1" applyProtection="1"/>
    <xf numFmtId="165" fontId="19" fillId="2" borderId="0" xfId="0" applyNumberFormat="1" applyFont="1" applyFill="1" applyAlignment="1">
      <alignment horizontal="center"/>
    </xf>
    <xf numFmtId="169" fontId="11" fillId="2" borderId="34" xfId="1" applyNumberFormat="1" applyFont="1" applyFill="1" applyBorder="1" applyAlignment="1" applyProtection="1">
      <alignment horizontal="center"/>
      <protection locked="0"/>
    </xf>
    <xf numFmtId="0" fontId="19" fillId="2" borderId="34" xfId="0" applyFont="1" applyFill="1" applyBorder="1" applyAlignment="1" applyProtection="1">
      <alignment horizontal="left"/>
    </xf>
    <xf numFmtId="0" fontId="58" fillId="2" borderId="0" xfId="0" applyFont="1" applyFill="1" applyAlignment="1">
      <alignment horizontal="center"/>
    </xf>
    <xf numFmtId="0" fontId="59" fillId="2" borderId="0" xfId="0" applyFont="1" applyFill="1"/>
    <xf numFmtId="0" fontId="59" fillId="2" borderId="0" xfId="0" applyFont="1" applyFill="1" applyProtection="1"/>
    <xf numFmtId="0" fontId="60" fillId="2" borderId="0" xfId="0" applyFont="1" applyFill="1"/>
    <xf numFmtId="0" fontId="61" fillId="2" borderId="0" xfId="0" applyFont="1" applyFill="1"/>
    <xf numFmtId="0" fontId="28" fillId="16" borderId="0" xfId="0" applyFont="1" applyFill="1" applyBorder="1" applyAlignment="1" applyProtection="1">
      <alignment horizontal="left" vertical="top" wrapText="1"/>
    </xf>
    <xf numFmtId="0" fontId="54" fillId="4" borderId="34" xfId="0" applyFont="1" applyFill="1" applyBorder="1" applyProtection="1"/>
    <xf numFmtId="0" fontId="54" fillId="4" borderId="49" xfId="0" applyFont="1" applyFill="1" applyBorder="1" applyProtection="1"/>
    <xf numFmtId="169" fontId="18" fillId="6" borderId="49" xfId="1" applyNumberFormat="1" applyFont="1" applyFill="1" applyBorder="1" applyAlignment="1" applyProtection="1">
      <alignment horizontal="center"/>
    </xf>
    <xf numFmtId="168" fontId="18" fillId="4" borderId="46" xfId="2" applyNumberFormat="1" applyFont="1" applyFill="1" applyBorder="1" applyAlignment="1" applyProtection="1">
      <alignment horizontal="right"/>
    </xf>
    <xf numFmtId="0" fontId="18" fillId="2" borderId="34" xfId="0" applyFont="1" applyFill="1" applyBorder="1" applyAlignment="1" applyProtection="1">
      <alignment horizontal="center"/>
    </xf>
    <xf numFmtId="0" fontId="19" fillId="2" borderId="0" xfId="0" applyFont="1" applyFill="1" applyBorder="1" applyAlignment="1">
      <alignment horizontal="left"/>
    </xf>
    <xf numFmtId="0" fontId="13" fillId="2" borderId="0" xfId="0" applyFont="1" applyFill="1" applyBorder="1" applyProtection="1"/>
    <xf numFmtId="0" fontId="18" fillId="2" borderId="0" xfId="0" applyFont="1" applyFill="1" applyBorder="1" applyProtection="1"/>
    <xf numFmtId="0" fontId="54" fillId="2" borderId="0" xfId="0" applyFont="1" applyFill="1" applyBorder="1" applyProtection="1"/>
    <xf numFmtId="0" fontId="56" fillId="2" borderId="0" xfId="0" applyFont="1" applyFill="1" applyBorder="1" applyProtection="1"/>
    <xf numFmtId="168" fontId="19" fillId="2" borderId="34" xfId="2" applyNumberFormat="1" applyFont="1" applyFill="1" applyBorder="1" applyAlignment="1" applyProtection="1">
      <alignment horizontal="left"/>
    </xf>
    <xf numFmtId="0" fontId="56" fillId="15" borderId="34" xfId="0" applyFont="1" applyFill="1" applyBorder="1" applyProtection="1">
      <protection locked="0"/>
    </xf>
    <xf numFmtId="0" fontId="56" fillId="15" borderId="48" xfId="0" applyFont="1" applyFill="1" applyBorder="1" applyAlignment="1" applyProtection="1">
      <protection locked="0"/>
    </xf>
    <xf numFmtId="168" fontId="18" fillId="15" borderId="34" xfId="2" applyNumberFormat="1" applyFont="1" applyFill="1" applyBorder="1" applyAlignment="1" applyProtection="1">
      <alignment horizontal="right"/>
      <protection locked="0"/>
    </xf>
    <xf numFmtId="168" fontId="18" fillId="15" borderId="49" xfId="2" applyNumberFormat="1" applyFont="1" applyFill="1" applyBorder="1" applyAlignment="1" applyProtection="1">
      <alignment horizontal="right"/>
      <protection locked="0"/>
    </xf>
    <xf numFmtId="169" fontId="18" fillId="15" borderId="34" xfId="1" applyNumberFormat="1" applyFont="1" applyFill="1" applyBorder="1" applyAlignment="1" applyProtection="1">
      <alignment horizontal="right"/>
      <protection locked="0"/>
    </xf>
    <xf numFmtId="169" fontId="18" fillId="15" borderId="49" xfId="1" applyNumberFormat="1" applyFont="1" applyFill="1" applyBorder="1" applyAlignment="1" applyProtection="1">
      <alignment horizontal="right"/>
      <protection locked="0"/>
    </xf>
    <xf numFmtId="10" fontId="18" fillId="15" borderId="34" xfId="3" applyNumberFormat="1" applyFont="1" applyFill="1" applyBorder="1" applyAlignment="1" applyProtection="1">
      <alignment horizontal="right"/>
      <protection locked="0"/>
    </xf>
    <xf numFmtId="10" fontId="18" fillId="15" borderId="49" xfId="3" applyNumberFormat="1" applyFont="1" applyFill="1" applyBorder="1" applyAlignment="1" applyProtection="1">
      <alignment horizontal="right"/>
      <protection locked="0"/>
    </xf>
    <xf numFmtId="169" fontId="18" fillId="15" borderId="49" xfId="1" applyNumberFormat="1" applyFont="1" applyFill="1" applyBorder="1" applyAlignment="1" applyProtection="1">
      <alignment horizontal="center"/>
      <protection locked="0"/>
    </xf>
    <xf numFmtId="168" fontId="18" fillId="15" borderId="46" xfId="2" applyNumberFormat="1" applyFont="1" applyFill="1" applyBorder="1" applyAlignment="1" applyProtection="1">
      <alignment horizontal="right"/>
      <protection locked="0"/>
    </xf>
    <xf numFmtId="168" fontId="18" fillId="2" borderId="46" xfId="2" applyNumberFormat="1" applyFont="1" applyFill="1" applyBorder="1" applyAlignment="1" applyProtection="1">
      <alignment horizontal="right"/>
    </xf>
    <xf numFmtId="168" fontId="18" fillId="4" borderId="34" xfId="2" applyNumberFormat="1" applyFont="1" applyFill="1" applyBorder="1" applyAlignment="1" applyProtection="1">
      <alignment horizontal="right"/>
    </xf>
    <xf numFmtId="0" fontId="18" fillId="15" borderId="34" xfId="0" applyFont="1" applyFill="1" applyBorder="1" applyAlignment="1" applyProtection="1">
      <alignment horizontal="center"/>
      <protection locked="0"/>
    </xf>
    <xf numFmtId="168" fontId="13" fillId="2" borderId="34" xfId="2" applyNumberFormat="1" applyFont="1" applyFill="1" applyBorder="1" applyProtection="1"/>
    <xf numFmtId="168" fontId="13" fillId="15" borderId="34" xfId="2" applyNumberFormat="1" applyFont="1" applyFill="1" applyBorder="1" applyAlignment="1" applyProtection="1">
      <alignment horizontal="right"/>
      <protection locked="0"/>
    </xf>
    <xf numFmtId="0" fontId="19" fillId="15" borderId="34" xfId="0" applyFont="1" applyFill="1" applyBorder="1" applyAlignment="1" applyProtection="1">
      <alignment horizontal="left"/>
      <protection locked="0"/>
    </xf>
    <xf numFmtId="168" fontId="18" fillId="15" borderId="34" xfId="2" applyNumberFormat="1" applyFont="1" applyFill="1" applyBorder="1" applyAlignment="1" applyProtection="1">
      <alignment horizontal="center"/>
      <protection locked="0"/>
    </xf>
    <xf numFmtId="168" fontId="18" fillId="2" borderId="34" xfId="2" applyNumberFormat="1" applyFont="1" applyFill="1" applyBorder="1" applyAlignment="1" applyProtection="1">
      <alignment horizontal="center"/>
    </xf>
    <xf numFmtId="168" fontId="18" fillId="2" borderId="34" xfId="2" applyNumberFormat="1" applyFont="1" applyFill="1" applyBorder="1" applyProtection="1"/>
    <xf numFmtId="0" fontId="18" fillId="2" borderId="34" xfId="0" applyFont="1" applyFill="1" applyBorder="1" applyProtection="1"/>
    <xf numFmtId="0" fontId="18" fillId="15" borderId="34" xfId="0" applyFont="1" applyFill="1" applyBorder="1" applyAlignment="1" applyProtection="1">
      <alignment horizontal="right"/>
      <protection locked="0"/>
    </xf>
    <xf numFmtId="0" fontId="18" fillId="15" borderId="34" xfId="1" applyNumberFormat="1" applyFont="1" applyFill="1" applyBorder="1" applyAlignment="1" applyProtection="1">
      <alignment horizontal="center"/>
      <protection locked="0"/>
    </xf>
    <xf numFmtId="166" fontId="13" fillId="15" borderId="34" xfId="2" applyFont="1" applyFill="1" applyBorder="1" applyProtection="1">
      <protection locked="0"/>
    </xf>
    <xf numFmtId="166" fontId="13" fillId="15" borderId="49" xfId="2" applyFont="1" applyFill="1" applyBorder="1" applyProtection="1">
      <protection locked="0"/>
    </xf>
    <xf numFmtId="166" fontId="0" fillId="2" borderId="50" xfId="2" applyFont="1" applyFill="1" applyBorder="1" applyAlignment="1" applyProtection="1">
      <alignment vertical="center"/>
    </xf>
    <xf numFmtId="166" fontId="0" fillId="2" borderId="51" xfId="2" applyFont="1" applyFill="1" applyBorder="1" applyAlignment="1" applyProtection="1">
      <alignment vertical="center"/>
    </xf>
    <xf numFmtId="0" fontId="0" fillId="2" borderId="52" xfId="0" applyFill="1" applyBorder="1"/>
    <xf numFmtId="166" fontId="6" fillId="2" borderId="53" xfId="2" applyFont="1" applyFill="1" applyBorder="1" applyAlignment="1" applyProtection="1">
      <alignment horizontal="center"/>
    </xf>
    <xf numFmtId="0" fontId="6" fillId="4" borderId="54" xfId="1" applyNumberFormat="1" applyFont="1" applyFill="1" applyBorder="1" applyAlignment="1" applyProtection="1">
      <alignment horizontal="center"/>
      <protection locked="0"/>
    </xf>
    <xf numFmtId="0" fontId="18" fillId="15" borderId="54" xfId="1" applyNumberFormat="1" applyFont="1" applyFill="1" applyBorder="1" applyAlignment="1" applyProtection="1">
      <alignment horizontal="center"/>
      <protection locked="0"/>
    </xf>
    <xf numFmtId="0" fontId="13" fillId="2" borderId="53" xfId="0" applyFont="1" applyFill="1" applyBorder="1"/>
    <xf numFmtId="166" fontId="13" fillId="15" borderId="54" xfId="2" applyFont="1" applyFill="1" applyBorder="1" applyProtection="1">
      <protection locked="0"/>
    </xf>
    <xf numFmtId="0" fontId="0" fillId="2" borderId="53" xfId="0" applyFill="1" applyBorder="1"/>
    <xf numFmtId="0" fontId="0" fillId="2" borderId="53" xfId="0" applyFill="1" applyBorder="1" applyProtection="1"/>
    <xf numFmtId="166" fontId="13" fillId="15" borderId="55" xfId="2" applyFont="1" applyFill="1" applyBorder="1" applyProtection="1">
      <protection locked="0"/>
    </xf>
    <xf numFmtId="166" fontId="0" fillId="2" borderId="56" xfId="2" applyFont="1" applyFill="1" applyBorder="1" applyAlignment="1" applyProtection="1">
      <alignment vertical="center"/>
    </xf>
    <xf numFmtId="166" fontId="0" fillId="2" borderId="57" xfId="2" applyFont="1" applyFill="1" applyBorder="1" applyAlignment="1" applyProtection="1">
      <alignment vertical="center"/>
    </xf>
    <xf numFmtId="0" fontId="0" fillId="2" borderId="58" xfId="0" applyFill="1" applyBorder="1"/>
    <xf numFmtId="0" fontId="13" fillId="16" borderId="0" xfId="0" applyFont="1" applyFill="1" applyBorder="1"/>
    <xf numFmtId="0" fontId="13" fillId="16" borderId="53" xfId="0" applyFont="1" applyFill="1" applyBorder="1"/>
    <xf numFmtId="0" fontId="0" fillId="2" borderId="59" xfId="0" applyFill="1" applyBorder="1"/>
    <xf numFmtId="0" fontId="30" fillId="2" borderId="0" xfId="0" applyFont="1" applyFill="1" applyBorder="1"/>
    <xf numFmtId="0" fontId="29" fillId="2" borderId="0" xfId="0" applyFont="1" applyFill="1" applyBorder="1"/>
    <xf numFmtId="0" fontId="26" fillId="2" borderId="0" xfId="0" applyFont="1" applyFill="1" applyBorder="1"/>
    <xf numFmtId="0" fontId="6" fillId="2" borderId="0" xfId="0" applyFont="1" applyFill="1" applyBorder="1"/>
    <xf numFmtId="0" fontId="0" fillId="2" borderId="60" xfId="0" applyFill="1" applyBorder="1"/>
    <xf numFmtId="0" fontId="0" fillId="2" borderId="50" xfId="0" applyFill="1" applyBorder="1"/>
    <xf numFmtId="0" fontId="0" fillId="2" borderId="56" xfId="0" applyFill="1" applyBorder="1"/>
    <xf numFmtId="178" fontId="0" fillId="0" borderId="0" xfId="0" applyNumberFormat="1" applyAlignment="1">
      <alignment horizontal="left"/>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62" fillId="0" borderId="0" xfId="6" applyAlignment="1">
      <alignment horizontal="left" vertical="top" wrapText="1"/>
    </xf>
    <xf numFmtId="0" fontId="18" fillId="2" borderId="34" xfId="0" applyFont="1" applyFill="1" applyBorder="1" applyAlignment="1" applyProtection="1">
      <alignment horizontal="right"/>
    </xf>
    <xf numFmtId="0" fontId="7" fillId="2" borderId="0" xfId="0" applyFont="1" applyFill="1" applyAlignment="1" applyProtection="1">
      <alignment horizontal="left"/>
    </xf>
    <xf numFmtId="168" fontId="18" fillId="15" borderId="34" xfId="2" applyNumberFormat="1" applyFont="1" applyFill="1" applyBorder="1" applyAlignment="1" applyProtection="1">
      <alignment horizontal="left"/>
      <protection locked="0"/>
    </xf>
    <xf numFmtId="0" fontId="7" fillId="2" borderId="0" xfId="0" applyFont="1" applyFill="1" applyProtection="1"/>
    <xf numFmtId="0" fontId="64" fillId="2" borderId="0" xfId="0" applyFont="1" applyFill="1" applyAlignment="1">
      <alignment vertical="top" wrapText="1"/>
    </xf>
    <xf numFmtId="0" fontId="56" fillId="15" borderId="47" xfId="0" applyFont="1" applyFill="1" applyBorder="1" applyAlignment="1" applyProtection="1">
      <alignment horizontal="center"/>
      <protection locked="0"/>
    </xf>
    <xf numFmtId="0" fontId="56" fillId="15" borderId="0" xfId="0" applyFont="1" applyFill="1" applyBorder="1" applyAlignment="1" applyProtection="1">
      <alignment horizontal="center"/>
      <protection locked="0"/>
    </xf>
    <xf numFmtId="0" fontId="56" fillId="15" borderId="48" xfId="0" applyFont="1" applyFill="1" applyBorder="1" applyAlignment="1" applyProtection="1">
      <alignment horizontal="center"/>
      <protection locked="0"/>
    </xf>
    <xf numFmtId="0" fontId="0" fillId="2" borderId="0" xfId="0" applyFill="1" applyBorder="1" applyAlignment="1" applyProtection="1">
      <alignment horizontal="center" vertical="top" wrapText="1"/>
      <protection locked="0"/>
    </xf>
    <xf numFmtId="0" fontId="17" fillId="2" borderId="0" xfId="0" applyFont="1" applyFill="1" applyAlignment="1" applyProtection="1">
      <alignment horizontal="center" vertical="center"/>
    </xf>
    <xf numFmtId="0" fontId="28" fillId="2" borderId="0" xfId="0" applyFont="1" applyFill="1" applyAlignment="1" applyProtection="1">
      <alignment horizontal="left" vertical="top" wrapText="1"/>
    </xf>
    <xf numFmtId="0" fontId="56" fillId="16" borderId="0" xfId="0" applyFont="1" applyFill="1" applyBorder="1" applyAlignment="1" applyProtection="1">
      <alignment horizontal="center" vertical="center" wrapText="1"/>
    </xf>
    <xf numFmtId="0" fontId="20"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2" fillId="2" borderId="36" xfId="0" applyFont="1" applyFill="1" applyBorder="1" applyAlignment="1">
      <alignment horizontal="center"/>
    </xf>
    <xf numFmtId="0" fontId="0" fillId="2" borderId="36" xfId="0" applyFill="1" applyBorder="1" applyAlignment="1">
      <alignment horizontal="center"/>
    </xf>
  </cellXfs>
  <cellStyles count="7">
    <cellStyle name="Comma" xfId="1" builtinId="3"/>
    <cellStyle name="Currency" xfId="2" builtinId="4"/>
    <cellStyle name="Hyperlink" xfId="6" builtinId="8"/>
    <cellStyle name="Normal" xfId="0" builtinId="0"/>
    <cellStyle name="Normal_031223 RMBS loans data template &amp; Multiples" xfId="4" xr:uid="{00000000-0005-0000-0000-000004000000}"/>
    <cellStyle name="Normal_Sheet1" xfId="5" xr:uid="{00000000-0005-0000-0000-000005000000}"/>
    <cellStyle name="Per cent" xfId="3" builtinId="5"/>
  </cellStyles>
  <dxfs count="44">
    <dxf>
      <font>
        <color rgb="FFFF0000"/>
      </font>
    </dxf>
    <dxf>
      <font>
        <color rgb="FFFF0000"/>
      </font>
    </dxf>
    <dxf>
      <font>
        <color rgb="FFFF0000"/>
      </font>
    </dxf>
    <dxf>
      <font>
        <color rgb="FFFF0000"/>
      </font>
    </dxf>
    <dxf>
      <font>
        <color rgb="FFFF0000"/>
      </font>
    </dxf>
    <dxf>
      <font>
        <color rgb="FFFF0000"/>
      </font>
    </dxf>
    <dxf>
      <font>
        <color rgb="FFFF0000"/>
      </font>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font>
        <color theme="0"/>
      </font>
    </dxf>
    <dxf>
      <font>
        <color theme="0"/>
      </font>
    </dxf>
    <dxf>
      <fill>
        <patternFill>
          <bgColor rgb="FFFF7D7D"/>
        </patternFill>
      </fill>
    </dxf>
    <dxf>
      <fill>
        <patternFill>
          <bgColor rgb="FFFF7D7D"/>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9" tint="0.79998168889431442"/>
      </font>
      <border>
        <left style="thin">
          <color theme="0"/>
        </left>
        <right style="thin">
          <color theme="0"/>
        </right>
        <bottom style="thin">
          <color theme="0"/>
        </bottom>
        <vertical/>
        <horizontal/>
      </border>
    </dxf>
    <dxf>
      <font>
        <color theme="0"/>
      </font>
    </dxf>
    <dxf>
      <font>
        <color theme="0"/>
      </font>
      <border>
        <left/>
        <right/>
        <top/>
        <bottom/>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ont>
        <strike val="0"/>
        <color theme="0"/>
      </font>
      <border>
        <left/>
        <right/>
        <top/>
        <bottom/>
        <vertical/>
        <horizontal/>
      </border>
    </dxf>
    <dxf>
      <font>
        <strike val="0"/>
        <color theme="0"/>
      </font>
      <border>
        <left/>
        <right/>
        <top/>
        <bottom/>
        <vertical/>
        <horizontal/>
      </border>
    </dxf>
    <dxf>
      <font>
        <strike val="0"/>
        <color theme="0"/>
      </font>
      <border>
        <left/>
        <right/>
        <top/>
        <bottom/>
        <vertical/>
        <horizontal/>
      </border>
    </dxf>
    <dxf>
      <font>
        <color theme="0"/>
      </font>
      <border>
        <left style="thin">
          <color theme="0"/>
        </left>
        <right style="thin">
          <color theme="0"/>
        </right>
        <bottom style="thin">
          <color theme="0"/>
        </bottom>
        <vertical/>
        <horizontal/>
      </border>
    </dxf>
    <dxf>
      <font>
        <color theme="0"/>
      </font>
      <border>
        <left style="thin">
          <color theme="0"/>
        </left>
        <right style="thin">
          <color theme="0"/>
        </right>
        <bottom style="thin">
          <color theme="0"/>
        </bottom>
        <vertical/>
        <horizontal/>
      </border>
    </dxf>
    <dxf>
      <font>
        <color theme="0"/>
      </font>
      <border>
        <left style="thin">
          <color theme="0"/>
        </left>
        <right style="thin">
          <color theme="0"/>
        </right>
        <bottom style="thin">
          <color theme="0"/>
        </bottom>
        <vertical/>
        <horizontal/>
      </border>
    </dxf>
    <dxf>
      <font>
        <color theme="0"/>
      </font>
    </dxf>
    <dxf>
      <font>
        <color theme="0"/>
      </font>
      <border>
        <left/>
        <right/>
        <top/>
        <bottom/>
        <vertical/>
        <horizontal/>
      </border>
    </dxf>
    <dxf>
      <font>
        <strike val="0"/>
        <color theme="0"/>
      </font>
      <fill>
        <patternFill>
          <bgColor theme="0"/>
        </patternFill>
      </fill>
      <border>
        <left/>
        <right/>
        <top/>
        <bottom/>
        <vertical/>
        <horizontal/>
      </border>
    </dxf>
    <dxf>
      <border>
        <left/>
        <right/>
        <top/>
        <bottom/>
        <vertical/>
        <horizontal/>
      </border>
    </dxf>
    <dxf>
      <font>
        <color theme="9" tint="-0.499984740745262"/>
      </font>
      <fill>
        <patternFill>
          <bgColor theme="9" tint="0.59996337778862885"/>
        </patternFill>
      </fill>
    </dxf>
    <dxf>
      <font>
        <strike val="0"/>
        <color rgb="FFC00000"/>
      </font>
      <fill>
        <patternFill>
          <bgColor theme="5" tint="0.59996337778862885"/>
        </patternFill>
      </fill>
    </dxf>
    <dxf>
      <font>
        <color theme="0"/>
      </font>
      <border>
        <left/>
        <right/>
        <top/>
        <bottom/>
        <vertical/>
        <horizontal/>
      </border>
    </dxf>
    <dxf>
      <font>
        <color theme="0"/>
      </font>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dxf>
    <dxf>
      <font>
        <color theme="0"/>
      </font>
    </dxf>
  </dxfs>
  <tableStyles count="0" defaultTableStyle="TableStyleMedium2" defaultPivotStyle="PivotStyleLight16"/>
  <colors>
    <mruColors>
      <color rgb="FFBC2043"/>
      <color rgb="FF869FB7"/>
      <color rgb="FF14291E"/>
      <color rgb="FFFF967D"/>
      <color rgb="FFFFC9C9"/>
      <color rgb="FFFF6565"/>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7565</xdr:colOff>
      <xdr:row>5</xdr:row>
      <xdr:rowOff>53578</xdr:rowOff>
    </xdr:from>
    <xdr:to>
      <xdr:col>21</xdr:col>
      <xdr:colOff>10969</xdr:colOff>
      <xdr:row>5</xdr:row>
      <xdr:rowOff>53578</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36873" y="1196578"/>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7565</xdr:colOff>
      <xdr:row>7</xdr:row>
      <xdr:rowOff>99135</xdr:rowOff>
    </xdr:from>
    <xdr:to>
      <xdr:col>21</xdr:col>
      <xdr:colOff>10969</xdr:colOff>
      <xdr:row>7</xdr:row>
      <xdr:rowOff>99135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36873" y="1623135"/>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21</xdr:row>
      <xdr:rowOff>0</xdr:rowOff>
    </xdr:from>
    <xdr:to>
      <xdr:col>21</xdr:col>
      <xdr:colOff>1902</xdr:colOff>
      <xdr:row>21</xdr:row>
      <xdr:rowOff>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V="1">
          <a:off x="27806" y="3626827"/>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78</xdr:row>
      <xdr:rowOff>23813</xdr:rowOff>
    </xdr:from>
    <xdr:to>
      <xdr:col>21</xdr:col>
      <xdr:colOff>1902</xdr:colOff>
      <xdr:row>78</xdr:row>
      <xdr:rowOff>23813</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flipV="1">
          <a:off x="27806" y="9797928"/>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102</xdr:row>
      <xdr:rowOff>0</xdr:rowOff>
    </xdr:from>
    <xdr:to>
      <xdr:col>21</xdr:col>
      <xdr:colOff>1902</xdr:colOff>
      <xdr:row>102</xdr:row>
      <xdr:rowOff>0</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27806" y="14397404"/>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5825</xdr:colOff>
      <xdr:row>136</xdr:row>
      <xdr:rowOff>7327</xdr:rowOff>
    </xdr:from>
    <xdr:to>
      <xdr:col>21</xdr:col>
      <xdr:colOff>9229</xdr:colOff>
      <xdr:row>136</xdr:row>
      <xdr:rowOff>7327</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V="1">
          <a:off x="35133" y="16177846"/>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151</xdr:row>
      <xdr:rowOff>0</xdr:rowOff>
    </xdr:from>
    <xdr:to>
      <xdr:col>21</xdr:col>
      <xdr:colOff>1902</xdr:colOff>
      <xdr:row>151</xdr:row>
      <xdr:rowOff>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flipV="1">
          <a:off x="27806" y="20024481"/>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153</xdr:row>
      <xdr:rowOff>0</xdr:rowOff>
    </xdr:from>
    <xdr:to>
      <xdr:col>19</xdr:col>
      <xdr:colOff>768569</xdr:colOff>
      <xdr:row>158</xdr:row>
      <xdr:rowOff>0</xdr:rowOff>
    </xdr:to>
    <xdr:sp macro="" textlink="">
      <xdr:nvSpPr>
        <xdr:cNvPr id="446" name="Rectangle 445">
          <a:extLst>
            <a:ext uri="{FF2B5EF4-FFF2-40B4-BE49-F238E27FC236}">
              <a16:creationId xmlns:a16="http://schemas.microsoft.com/office/drawing/2014/main" id="{00000000-0008-0000-0000-0000BE010000}"/>
            </a:ext>
          </a:extLst>
        </xdr:cNvPr>
        <xdr:cNvSpPr/>
      </xdr:nvSpPr>
      <xdr:spPr>
        <a:xfrm>
          <a:off x="1005052" y="18156621"/>
          <a:ext cx="6917120" cy="952500"/>
        </a:xfrm>
        <a:prstGeom prst="rect">
          <a:avLst/>
        </a:prstGeom>
        <a:noFill/>
        <a:ln w="635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168338</xdr:colOff>
      <xdr:row>21</xdr:row>
      <xdr:rowOff>73270</xdr:rowOff>
    </xdr:from>
    <xdr:to>
      <xdr:col>19</xdr:col>
      <xdr:colOff>149103</xdr:colOff>
      <xdr:row>23</xdr:row>
      <xdr:rowOff>981</xdr:rowOff>
    </xdr:to>
    <xdr:sp macro="[0]!AddBus" textlink="">
      <xdr:nvSpPr>
        <xdr:cNvPr id="2" name="Snip Diagonal Corner Rectangle 1">
          <a:extLst>
            <a:ext uri="{FF2B5EF4-FFF2-40B4-BE49-F238E27FC236}">
              <a16:creationId xmlns:a16="http://schemas.microsoft.com/office/drawing/2014/main" id="{00000000-0008-0000-0000-000002000000}"/>
            </a:ext>
          </a:extLst>
        </xdr:cNvPr>
        <xdr:cNvSpPr/>
      </xdr:nvSpPr>
      <xdr:spPr>
        <a:xfrm>
          <a:off x="5582934" y="4799135"/>
          <a:ext cx="1519419"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Business Income</a:t>
          </a:r>
        </a:p>
      </xdr:txBody>
    </xdr:sp>
    <xdr:clientData/>
  </xdr:twoCellAnchor>
  <xdr:twoCellAnchor>
    <xdr:from>
      <xdr:col>19</xdr:col>
      <xdr:colOff>218435</xdr:colOff>
      <xdr:row>102</xdr:row>
      <xdr:rowOff>79132</xdr:rowOff>
    </xdr:from>
    <xdr:to>
      <xdr:col>19</xdr:col>
      <xdr:colOff>760169</xdr:colOff>
      <xdr:row>104</xdr:row>
      <xdr:rowOff>6843</xdr:rowOff>
    </xdr:to>
    <xdr:sp macro="[0]!Liab_help" textlink="">
      <xdr:nvSpPr>
        <xdr:cNvPr id="13" name="Snip Diagonal Corner Rectangle 12">
          <a:extLst>
            <a:ext uri="{FF2B5EF4-FFF2-40B4-BE49-F238E27FC236}">
              <a16:creationId xmlns:a16="http://schemas.microsoft.com/office/drawing/2014/main" id="{00000000-0008-0000-0000-00000D000000}"/>
            </a:ext>
          </a:extLst>
        </xdr:cNvPr>
        <xdr:cNvSpPr/>
      </xdr:nvSpPr>
      <xdr:spPr>
        <a:xfrm>
          <a:off x="7171685" y="16154401"/>
          <a:ext cx="54173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19</xdr:col>
      <xdr:colOff>226218</xdr:colOff>
      <xdr:row>78</xdr:row>
      <xdr:rowOff>93876</xdr:rowOff>
    </xdr:from>
    <xdr:to>
      <xdr:col>19</xdr:col>
      <xdr:colOff>761999</xdr:colOff>
      <xdr:row>80</xdr:row>
      <xdr:rowOff>21587</xdr:rowOff>
    </xdr:to>
    <xdr:sp macro="[0]!HEM_Help" textlink="">
      <xdr:nvSpPr>
        <xdr:cNvPr id="15" name="Snip Diagonal Corner Rectangle 14">
          <a:extLst>
            <a:ext uri="{FF2B5EF4-FFF2-40B4-BE49-F238E27FC236}">
              <a16:creationId xmlns:a16="http://schemas.microsoft.com/office/drawing/2014/main" id="{00000000-0008-0000-0000-00000F000000}"/>
            </a:ext>
          </a:extLst>
        </xdr:cNvPr>
        <xdr:cNvSpPr/>
      </xdr:nvSpPr>
      <xdr:spPr>
        <a:xfrm>
          <a:off x="7179468" y="10256318"/>
          <a:ext cx="535781"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19</xdr:col>
      <xdr:colOff>227596</xdr:colOff>
      <xdr:row>21</xdr:row>
      <xdr:rowOff>73270</xdr:rowOff>
    </xdr:from>
    <xdr:to>
      <xdr:col>19</xdr:col>
      <xdr:colOff>767596</xdr:colOff>
      <xdr:row>23</xdr:row>
      <xdr:rowOff>981</xdr:rowOff>
    </xdr:to>
    <xdr:sp macro="[0]!Income_Help" textlink="">
      <xdr:nvSpPr>
        <xdr:cNvPr id="17" name="Snip Diagonal Corner Rectangle 16">
          <a:extLst>
            <a:ext uri="{FF2B5EF4-FFF2-40B4-BE49-F238E27FC236}">
              <a16:creationId xmlns:a16="http://schemas.microsoft.com/office/drawing/2014/main" id="{00000000-0008-0000-0000-000011000000}"/>
            </a:ext>
          </a:extLst>
        </xdr:cNvPr>
        <xdr:cNvSpPr/>
      </xdr:nvSpPr>
      <xdr:spPr>
        <a:xfrm>
          <a:off x="7180846" y="4799135"/>
          <a:ext cx="540000"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19</xdr:col>
      <xdr:colOff>222555</xdr:colOff>
      <xdr:row>7</xdr:row>
      <xdr:rowOff>162475</xdr:rowOff>
    </xdr:from>
    <xdr:to>
      <xdr:col>19</xdr:col>
      <xdr:colOff>762555</xdr:colOff>
      <xdr:row>9</xdr:row>
      <xdr:rowOff>90187</xdr:rowOff>
    </xdr:to>
    <xdr:sp macro="[0]!Loan_Help" textlink="">
      <xdr:nvSpPr>
        <xdr:cNvPr id="18" name="Snip Diagonal Corner Rectangle 17">
          <a:extLst>
            <a:ext uri="{FF2B5EF4-FFF2-40B4-BE49-F238E27FC236}">
              <a16:creationId xmlns:a16="http://schemas.microsoft.com/office/drawing/2014/main" id="{00000000-0008-0000-0000-000012000000}"/>
            </a:ext>
          </a:extLst>
        </xdr:cNvPr>
        <xdr:cNvSpPr/>
      </xdr:nvSpPr>
      <xdr:spPr>
        <a:xfrm>
          <a:off x="7175805" y="1686475"/>
          <a:ext cx="540000"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17</xdr:col>
      <xdr:colOff>666751</xdr:colOff>
      <xdr:row>1</xdr:row>
      <xdr:rowOff>162569</xdr:rowOff>
    </xdr:from>
    <xdr:to>
      <xdr:col>20</xdr:col>
      <xdr:colOff>1731</xdr:colOff>
      <xdr:row>3</xdr:row>
      <xdr:rowOff>0</xdr:rowOff>
    </xdr:to>
    <xdr:sp macro="[0]!Sheet2.Clearcontents" textlink="">
      <xdr:nvSpPr>
        <xdr:cNvPr id="19" name="Snip Diagonal Corner Rectangle 18">
          <a:extLst>
            <a:ext uri="{FF2B5EF4-FFF2-40B4-BE49-F238E27FC236}">
              <a16:creationId xmlns:a16="http://schemas.microsoft.com/office/drawing/2014/main" id="{00000000-0008-0000-0000-000013000000}"/>
            </a:ext>
          </a:extLst>
        </xdr:cNvPr>
        <xdr:cNvSpPr/>
      </xdr:nvSpPr>
      <xdr:spPr>
        <a:xfrm>
          <a:off x="6850674" y="353069"/>
          <a:ext cx="873634" cy="408931"/>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solidFill>
                <a:schemeClr val="tx1"/>
              </a:solidFill>
            </a:rPr>
            <a:t>Reset</a:t>
          </a:r>
        </a:p>
      </xdr:txBody>
    </xdr:sp>
    <xdr:clientData/>
  </xdr:twoCellAnchor>
  <xdr:twoCellAnchor>
    <xdr:from>
      <xdr:col>7</xdr:col>
      <xdr:colOff>556846</xdr:colOff>
      <xdr:row>21</xdr:row>
      <xdr:rowOff>73270</xdr:rowOff>
    </xdr:from>
    <xdr:to>
      <xdr:col>11</xdr:col>
      <xdr:colOff>149284</xdr:colOff>
      <xdr:row>23</xdr:row>
      <xdr:rowOff>981</xdr:rowOff>
    </xdr:to>
    <xdr:sp macro="[0]!Sheet2.Add" textlink="">
      <xdr:nvSpPr>
        <xdr:cNvPr id="20" name="Snip Diagonal Corner Rectangle 19">
          <a:extLst>
            <a:ext uri="{FF2B5EF4-FFF2-40B4-BE49-F238E27FC236}">
              <a16:creationId xmlns:a16="http://schemas.microsoft.com/office/drawing/2014/main" id="{00000000-0008-0000-0000-000014000000}"/>
            </a:ext>
          </a:extLst>
        </xdr:cNvPr>
        <xdr:cNvSpPr/>
      </xdr:nvSpPr>
      <xdr:spPr>
        <a:xfrm>
          <a:off x="2894134" y="4799135"/>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Applicant</a:t>
          </a:r>
        </a:p>
      </xdr:txBody>
    </xdr:sp>
    <xdr:clientData/>
  </xdr:twoCellAnchor>
  <xdr:twoCellAnchor>
    <xdr:from>
      <xdr:col>11</xdr:col>
      <xdr:colOff>227776</xdr:colOff>
      <xdr:row>21</xdr:row>
      <xdr:rowOff>73270</xdr:rowOff>
    </xdr:from>
    <xdr:to>
      <xdr:col>15</xdr:col>
      <xdr:colOff>89846</xdr:colOff>
      <xdr:row>23</xdr:row>
      <xdr:rowOff>981</xdr:rowOff>
    </xdr:to>
    <xdr:sp macro="[0]!Sheet2.Minus" textlink="">
      <xdr:nvSpPr>
        <xdr:cNvPr id="21" name="Snip Diagonal Corner Rectangle 20">
          <a:extLst>
            <a:ext uri="{FF2B5EF4-FFF2-40B4-BE49-F238E27FC236}">
              <a16:creationId xmlns:a16="http://schemas.microsoft.com/office/drawing/2014/main" id="{00000000-0008-0000-0000-000015000000}"/>
            </a:ext>
          </a:extLst>
        </xdr:cNvPr>
        <xdr:cNvSpPr/>
      </xdr:nvSpPr>
      <xdr:spPr>
        <a:xfrm>
          <a:off x="4103718" y="4799135"/>
          <a:ext cx="140072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Applicant</a:t>
          </a:r>
        </a:p>
      </xdr:txBody>
    </xdr:sp>
    <xdr:clientData/>
  </xdr:twoCellAnchor>
  <xdr:twoCellAnchor>
    <xdr:from>
      <xdr:col>13</xdr:col>
      <xdr:colOff>27841</xdr:colOff>
      <xdr:row>102</xdr:row>
      <xdr:rowOff>79132</xdr:rowOff>
    </xdr:from>
    <xdr:to>
      <xdr:col>15</xdr:col>
      <xdr:colOff>389606</xdr:colOff>
      <xdr:row>104</xdr:row>
      <xdr:rowOff>6843</xdr:rowOff>
    </xdr:to>
    <xdr:sp macro="[0]!Sheet2.addlib" textlink="">
      <xdr:nvSpPr>
        <xdr:cNvPr id="22" name="Snip Diagonal Corner Rectangle 21">
          <a:extLst>
            <a:ext uri="{FF2B5EF4-FFF2-40B4-BE49-F238E27FC236}">
              <a16:creationId xmlns:a16="http://schemas.microsoft.com/office/drawing/2014/main" id="{00000000-0008-0000-0000-000016000000}"/>
            </a:ext>
          </a:extLst>
        </xdr:cNvPr>
        <xdr:cNvSpPr/>
      </xdr:nvSpPr>
      <xdr:spPr>
        <a:xfrm>
          <a:off x="4673110" y="16154401"/>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Liability</a:t>
          </a:r>
        </a:p>
      </xdr:txBody>
    </xdr:sp>
    <xdr:clientData/>
  </xdr:twoCellAnchor>
  <xdr:twoCellAnchor>
    <xdr:from>
      <xdr:col>11</xdr:col>
      <xdr:colOff>606669</xdr:colOff>
      <xdr:row>7</xdr:row>
      <xdr:rowOff>152401</xdr:rowOff>
    </xdr:from>
    <xdr:to>
      <xdr:col>15</xdr:col>
      <xdr:colOff>199107</xdr:colOff>
      <xdr:row>9</xdr:row>
      <xdr:rowOff>80113</xdr:rowOff>
    </xdr:to>
    <xdr:sp macro="[0]!Sheet2.Add_split" textlink="">
      <xdr:nvSpPr>
        <xdr:cNvPr id="23" name="Snip Diagonal Corner Rectangle 22">
          <a:extLst>
            <a:ext uri="{FF2B5EF4-FFF2-40B4-BE49-F238E27FC236}">
              <a16:creationId xmlns:a16="http://schemas.microsoft.com/office/drawing/2014/main" id="{00000000-0008-0000-0000-000017000000}"/>
            </a:ext>
          </a:extLst>
        </xdr:cNvPr>
        <xdr:cNvSpPr/>
      </xdr:nvSpPr>
      <xdr:spPr>
        <a:xfrm>
          <a:off x="4482611" y="1676401"/>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Loan Split</a:t>
          </a:r>
        </a:p>
      </xdr:txBody>
    </xdr:sp>
    <xdr:clientData/>
  </xdr:twoCellAnchor>
  <xdr:twoCellAnchor>
    <xdr:from>
      <xdr:col>15</xdr:col>
      <xdr:colOff>277599</xdr:colOff>
      <xdr:row>7</xdr:row>
      <xdr:rowOff>152401</xdr:rowOff>
    </xdr:from>
    <xdr:to>
      <xdr:col>19</xdr:col>
      <xdr:colOff>139669</xdr:colOff>
      <xdr:row>9</xdr:row>
      <xdr:rowOff>80113</xdr:rowOff>
    </xdr:to>
    <xdr:sp macro="[0]!Sheet2.Minus_split" textlink="">
      <xdr:nvSpPr>
        <xdr:cNvPr id="24" name="Snip Diagonal Corner Rectangle 23">
          <a:extLst>
            <a:ext uri="{FF2B5EF4-FFF2-40B4-BE49-F238E27FC236}">
              <a16:creationId xmlns:a16="http://schemas.microsoft.com/office/drawing/2014/main" id="{00000000-0008-0000-0000-000018000000}"/>
            </a:ext>
          </a:extLst>
        </xdr:cNvPr>
        <xdr:cNvSpPr/>
      </xdr:nvSpPr>
      <xdr:spPr>
        <a:xfrm>
          <a:off x="5692195" y="1676401"/>
          <a:ext cx="140072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Loan Split</a:t>
          </a:r>
        </a:p>
      </xdr:txBody>
    </xdr:sp>
    <xdr:clientData/>
  </xdr:twoCellAnchor>
  <xdr:twoCellAnchor>
    <xdr:from>
      <xdr:col>15</xdr:col>
      <xdr:colOff>471807</xdr:colOff>
      <xdr:row>102</xdr:row>
      <xdr:rowOff>79132</xdr:rowOff>
    </xdr:from>
    <xdr:to>
      <xdr:col>19</xdr:col>
      <xdr:colOff>136235</xdr:colOff>
      <xdr:row>104</xdr:row>
      <xdr:rowOff>6843</xdr:rowOff>
    </xdr:to>
    <xdr:sp macro="[0]!Sheet2.minuslib" textlink="">
      <xdr:nvSpPr>
        <xdr:cNvPr id="25" name="Snip Diagonal Corner Rectangle 24">
          <a:extLst>
            <a:ext uri="{FF2B5EF4-FFF2-40B4-BE49-F238E27FC236}">
              <a16:creationId xmlns:a16="http://schemas.microsoft.com/office/drawing/2014/main" id="{00000000-0008-0000-0000-000019000000}"/>
            </a:ext>
          </a:extLst>
        </xdr:cNvPr>
        <xdr:cNvSpPr/>
      </xdr:nvSpPr>
      <xdr:spPr>
        <a:xfrm>
          <a:off x="5886403" y="16154401"/>
          <a:ext cx="120308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Liability</a:t>
          </a:r>
        </a:p>
      </xdr:txBody>
    </xdr:sp>
    <xdr:clientData/>
  </xdr:twoCellAnchor>
  <xdr:twoCellAnchor>
    <xdr:from>
      <xdr:col>11</xdr:col>
      <xdr:colOff>630115</xdr:colOff>
      <xdr:row>78</xdr:row>
      <xdr:rowOff>93876</xdr:rowOff>
    </xdr:from>
    <xdr:to>
      <xdr:col>15</xdr:col>
      <xdr:colOff>222553</xdr:colOff>
      <xdr:row>80</xdr:row>
      <xdr:rowOff>21587</xdr:rowOff>
    </xdr:to>
    <xdr:sp macro="[0]!Sheet2.Addhousehold" textlink="">
      <xdr:nvSpPr>
        <xdr:cNvPr id="26" name="Snip Diagonal Corner Rectangle 25">
          <a:extLst>
            <a:ext uri="{FF2B5EF4-FFF2-40B4-BE49-F238E27FC236}">
              <a16:creationId xmlns:a16="http://schemas.microsoft.com/office/drawing/2014/main" id="{00000000-0008-0000-0000-00001A000000}"/>
            </a:ext>
          </a:extLst>
        </xdr:cNvPr>
        <xdr:cNvSpPr/>
      </xdr:nvSpPr>
      <xdr:spPr>
        <a:xfrm>
          <a:off x="4506057" y="10256318"/>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Household</a:t>
          </a:r>
        </a:p>
      </xdr:txBody>
    </xdr:sp>
    <xdr:clientData/>
  </xdr:twoCellAnchor>
  <xdr:twoCellAnchor>
    <xdr:from>
      <xdr:col>15</xdr:col>
      <xdr:colOff>293351</xdr:colOff>
      <xdr:row>78</xdr:row>
      <xdr:rowOff>93876</xdr:rowOff>
    </xdr:from>
    <xdr:to>
      <xdr:col>19</xdr:col>
      <xdr:colOff>155421</xdr:colOff>
      <xdr:row>80</xdr:row>
      <xdr:rowOff>21587</xdr:rowOff>
    </xdr:to>
    <xdr:sp macro="[0]!Sheet2.Minushousehold" textlink="">
      <xdr:nvSpPr>
        <xdr:cNvPr id="27" name="Snip Diagonal Corner Rectangle 26">
          <a:extLst>
            <a:ext uri="{FF2B5EF4-FFF2-40B4-BE49-F238E27FC236}">
              <a16:creationId xmlns:a16="http://schemas.microsoft.com/office/drawing/2014/main" id="{00000000-0008-0000-0000-00001B000000}"/>
            </a:ext>
          </a:extLst>
        </xdr:cNvPr>
        <xdr:cNvSpPr/>
      </xdr:nvSpPr>
      <xdr:spPr>
        <a:xfrm>
          <a:off x="5707947" y="10256318"/>
          <a:ext cx="140072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Household</a:t>
          </a:r>
        </a:p>
      </xdr:txBody>
    </xdr:sp>
    <xdr:clientData/>
  </xdr:twoCellAnchor>
  <xdr:twoCellAnchor editAs="oneCell">
    <xdr:from>
      <xdr:col>1</xdr:col>
      <xdr:colOff>21981</xdr:colOff>
      <xdr:row>0</xdr:row>
      <xdr:rowOff>36636</xdr:rowOff>
    </xdr:from>
    <xdr:to>
      <xdr:col>5</xdr:col>
      <xdr:colOff>527539</xdr:colOff>
      <xdr:row>1</xdr:row>
      <xdr:rowOff>270406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89" y="36636"/>
          <a:ext cx="2044212" cy="424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702129</xdr:colOff>
      <xdr:row>34</xdr:row>
      <xdr:rowOff>59872</xdr:rowOff>
    </xdr:from>
    <xdr:to>
      <xdr:col>17</xdr:col>
      <xdr:colOff>734785</xdr:colOff>
      <xdr:row>36</xdr:row>
      <xdr:rowOff>8583</xdr:rowOff>
    </xdr:to>
    <xdr:sp macro="[0]!Addinput" textlink="">
      <xdr:nvSpPr>
        <xdr:cNvPr id="2" name="Round Diagonal Corner Rectangle 1">
          <a:extLst>
            <a:ext uri="{FF2B5EF4-FFF2-40B4-BE49-F238E27FC236}">
              <a16:creationId xmlns:a16="http://schemas.microsoft.com/office/drawing/2014/main" id="{00000000-0008-0000-0100-000002000000}"/>
            </a:ext>
          </a:extLst>
        </xdr:cNvPr>
        <xdr:cNvSpPr/>
      </xdr:nvSpPr>
      <xdr:spPr>
        <a:xfrm>
          <a:off x="5159829" y="6389915"/>
          <a:ext cx="1523999" cy="329711"/>
        </a:xfrm>
        <a:prstGeom prst="round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Return to</a:t>
          </a:r>
          <a:r>
            <a:rPr lang="en-AU" sz="1100" baseline="0">
              <a:solidFill>
                <a:schemeClr val="tx1"/>
              </a:solidFill>
            </a:rPr>
            <a:t> Input Page</a:t>
          </a:r>
          <a:endParaRPr lang="en-AU"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88447</xdr:colOff>
      <xdr:row>0</xdr:row>
      <xdr:rowOff>102054</xdr:rowOff>
    </xdr:from>
    <xdr:to>
      <xdr:col>7</xdr:col>
      <xdr:colOff>61232</xdr:colOff>
      <xdr:row>2</xdr:row>
      <xdr:rowOff>163286</xdr:rowOff>
    </xdr:to>
    <xdr:sp macro="[0]!LWIMPORT" textlink="">
      <xdr:nvSpPr>
        <xdr:cNvPr id="2" name="Snip Diagonal Corner Rectangle 1">
          <a:extLst>
            <a:ext uri="{FF2B5EF4-FFF2-40B4-BE49-F238E27FC236}">
              <a16:creationId xmlns:a16="http://schemas.microsoft.com/office/drawing/2014/main" id="{00000000-0008-0000-0300-000002000000}"/>
            </a:ext>
          </a:extLst>
        </xdr:cNvPr>
        <xdr:cNvSpPr/>
      </xdr:nvSpPr>
      <xdr:spPr>
        <a:xfrm>
          <a:off x="5129893" y="102054"/>
          <a:ext cx="1197428" cy="442232"/>
        </a:xfrm>
        <a:prstGeom prst="snip2DiagRect">
          <a:avLst/>
        </a:prstGeom>
        <a:solidFill>
          <a:schemeClr val="bg1"/>
        </a:soli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800">
              <a:solidFill>
                <a:schemeClr val="tx1"/>
              </a:solidFill>
            </a:rPr>
            <a:t>Loan</a:t>
          </a:r>
          <a:r>
            <a:rPr lang="en-AU" sz="800" baseline="0">
              <a:solidFill>
                <a:schemeClr val="tx1"/>
              </a:solidFill>
            </a:rPr>
            <a:t> Works Import</a:t>
          </a:r>
          <a:endParaRPr lang="en-AU" sz="800">
            <a:solidFill>
              <a:schemeClr val="tx1"/>
            </a:solidFill>
          </a:endParaRPr>
        </a:p>
      </xdr:txBody>
    </xdr:sp>
    <xdr:clientData/>
  </xdr:twoCellAnchor>
  <xdr:twoCellAnchor>
    <xdr:from>
      <xdr:col>7</xdr:col>
      <xdr:colOff>170089</xdr:colOff>
      <xdr:row>0</xdr:row>
      <xdr:rowOff>115661</xdr:rowOff>
    </xdr:from>
    <xdr:to>
      <xdr:col>8</xdr:col>
      <xdr:colOff>537481</xdr:colOff>
      <xdr:row>2</xdr:row>
      <xdr:rowOff>176893</xdr:rowOff>
    </xdr:to>
    <xdr:sp macro="[0]!HideInput" textlink="">
      <xdr:nvSpPr>
        <xdr:cNvPr id="3" name="Snip Diagonal Corner Rectangle 2">
          <a:extLst>
            <a:ext uri="{FF2B5EF4-FFF2-40B4-BE49-F238E27FC236}">
              <a16:creationId xmlns:a16="http://schemas.microsoft.com/office/drawing/2014/main" id="{00000000-0008-0000-0300-000003000000}"/>
            </a:ext>
          </a:extLst>
        </xdr:cNvPr>
        <xdr:cNvSpPr/>
      </xdr:nvSpPr>
      <xdr:spPr>
        <a:xfrm>
          <a:off x="6436178" y="115661"/>
          <a:ext cx="979714" cy="442232"/>
        </a:xfrm>
        <a:prstGeom prst="snip2DiagRect">
          <a:avLst/>
        </a:prstGeom>
        <a:solidFill>
          <a:schemeClr val="bg1"/>
        </a:soli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Hide</a:t>
          </a:r>
          <a:r>
            <a:rPr lang="en-AU" sz="1100" baseline="0">
              <a:solidFill>
                <a:schemeClr val="tx1"/>
              </a:solidFill>
            </a:rPr>
            <a:t> Fields</a:t>
          </a:r>
          <a:endParaRPr lang="en-AU" sz="1100">
            <a:solidFill>
              <a:schemeClr val="tx1"/>
            </a:solidFill>
          </a:endParaRPr>
        </a:p>
      </xdr:txBody>
    </xdr:sp>
    <xdr:clientData/>
  </xdr:twoCellAnchor>
  <xdr:twoCellAnchor>
    <xdr:from>
      <xdr:col>4</xdr:col>
      <xdr:colOff>680357</xdr:colOff>
      <xdr:row>53</xdr:row>
      <xdr:rowOff>88447</xdr:rowOff>
    </xdr:from>
    <xdr:to>
      <xdr:col>4</xdr:col>
      <xdr:colOff>1660070</xdr:colOff>
      <xdr:row>55</xdr:row>
      <xdr:rowOff>149679</xdr:rowOff>
    </xdr:to>
    <xdr:sp macro="[0]!Calculate" textlink="">
      <xdr:nvSpPr>
        <xdr:cNvPr id="4" name="Snip Diagonal Corner Rectangle 3">
          <a:extLst>
            <a:ext uri="{FF2B5EF4-FFF2-40B4-BE49-F238E27FC236}">
              <a16:creationId xmlns:a16="http://schemas.microsoft.com/office/drawing/2014/main" id="{00000000-0008-0000-0300-000004000000}"/>
            </a:ext>
          </a:extLst>
        </xdr:cNvPr>
        <xdr:cNvSpPr/>
      </xdr:nvSpPr>
      <xdr:spPr>
        <a:xfrm>
          <a:off x="4082143" y="6585858"/>
          <a:ext cx="979713" cy="442232"/>
        </a:xfrm>
        <a:prstGeom prst="snip2DiagRect">
          <a:avLst/>
        </a:prstGeom>
        <a:solidFill>
          <a:schemeClr val="bg1"/>
        </a:soli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Calculate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1438275</xdr:colOff>
      <xdr:row>10</xdr:row>
      <xdr:rowOff>295275</xdr:rowOff>
    </xdr:from>
    <xdr:to>
      <xdr:col>12</xdr:col>
      <xdr:colOff>332156</xdr:colOff>
      <xdr:row>19</xdr:row>
      <xdr:rowOff>95860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 y="2390775"/>
          <a:ext cx="7618781" cy="1905610"/>
        </a:xfrm>
        <a:prstGeom prst="rect">
          <a:avLst/>
        </a:prstGeom>
      </xdr:spPr>
    </xdr:pic>
    <xdr:clientData/>
  </xdr:twoCellAnchor>
  <xdr:twoCellAnchor editAs="oneCell">
    <xdr:from>
      <xdr:col>0</xdr:col>
      <xdr:colOff>1409700</xdr:colOff>
      <xdr:row>20</xdr:row>
      <xdr:rowOff>85725</xdr:rowOff>
    </xdr:from>
    <xdr:to>
      <xdr:col>12</xdr:col>
      <xdr:colOff>304800</xdr:colOff>
      <xdr:row>39</xdr:row>
      <xdr:rowOff>11049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9700" y="4476750"/>
          <a:ext cx="7620000" cy="3544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OneDrive%20-%20Ready%20Set%20Group/@WORK/@READY%20SET%20GROUP%20PTY%20LTD/INCOME/@INVOICES/fsv1-tvo-vmp.tvo.prd\bmy$\Citrix_Home_Drives\bmymillerj\Documents\BNK%20Servicing%20Calc%20plus%20feedb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pageSetUpPr fitToPage="1"/>
  </sheetPr>
  <dimension ref="A1:AL159"/>
  <sheetViews>
    <sheetView tabSelected="1" topLeftCell="A140" zoomScale="130" zoomScaleNormal="130" workbookViewId="0">
      <selection activeCell="D154" sqref="D154:T158"/>
    </sheetView>
  </sheetViews>
  <sheetFormatPr baseColWidth="10" defaultColWidth="9.1640625" defaultRowHeight="15"/>
  <cols>
    <col min="1" max="1" width="0.5" style="1" customWidth="1"/>
    <col min="2" max="2" width="11.5" style="1" customWidth="1"/>
    <col min="3" max="3" width="0.1640625" style="1" customWidth="1"/>
    <col min="4" max="4" width="11.5" style="1" customWidth="1"/>
    <col min="5" max="5" width="0.1640625" style="28" customWidth="1"/>
    <col min="6" max="6" width="11.5" style="1" customWidth="1"/>
    <col min="7" max="7" width="0.1640625" style="28" customWidth="1"/>
    <col min="8" max="8" width="11.5" style="1" customWidth="1"/>
    <col min="9" max="9" width="0.1640625" style="28" customWidth="1"/>
    <col min="10" max="10" width="11.5" style="1" customWidth="1"/>
    <col min="11" max="11" width="0.1640625" style="28" customWidth="1"/>
    <col min="12" max="12" width="11.5" style="1" customWidth="1"/>
    <col min="13" max="13" width="0.1640625" style="28" customWidth="1"/>
    <col min="14" max="14" width="11.5" style="1" customWidth="1"/>
    <col min="15" max="15" width="0.1640625" style="28" customWidth="1"/>
    <col min="16" max="16" width="11.5" style="1" customWidth="1"/>
    <col min="17" max="17" width="0.1640625" style="28" customWidth="1"/>
    <col min="18" max="18" width="11.5" style="1" customWidth="1"/>
    <col min="19" max="19" width="0.1640625" style="28" customWidth="1"/>
    <col min="20" max="20" width="11.5" style="1" customWidth="1"/>
    <col min="21" max="21" width="0.1640625" style="1" customWidth="1"/>
    <col min="22" max="22" width="11.5" style="1" customWidth="1"/>
    <col min="23" max="23" width="7.5" style="1" hidden="1" customWidth="1"/>
    <col min="24" max="16384" width="9.1640625" style="1"/>
  </cols>
  <sheetData>
    <row r="1" spans="2:25">
      <c r="J1" s="1" t="s">
        <v>0</v>
      </c>
    </row>
    <row r="2" spans="2:25" ht="30">
      <c r="L2" s="420" t="s">
        <v>775</v>
      </c>
      <c r="T2" s="494" t="s">
        <v>793</v>
      </c>
    </row>
    <row r="4" spans="2:25" hidden="1">
      <c r="L4" s="137"/>
    </row>
    <row r="5" spans="2:25" hidden="1"/>
    <row r="6" spans="2:25">
      <c r="F6" s="2"/>
      <c r="G6" s="31"/>
      <c r="L6" s="2"/>
      <c r="R6" s="2"/>
      <c r="T6" s="2"/>
    </row>
    <row r="7" spans="2:25">
      <c r="B7" s="22" t="s">
        <v>268</v>
      </c>
      <c r="C7" s="22"/>
      <c r="D7" s="332"/>
      <c r="E7" s="435" t="s">
        <v>1</v>
      </c>
      <c r="F7" s="437"/>
      <c r="G7" s="45"/>
      <c r="H7" s="23"/>
      <c r="I7" s="45"/>
      <c r="J7" s="368" t="s">
        <v>757</v>
      </c>
      <c r="K7" s="331"/>
      <c r="L7" s="495"/>
      <c r="M7" s="496"/>
      <c r="N7" s="497"/>
      <c r="O7" s="45"/>
      <c r="P7" s="367"/>
      <c r="Q7" s="127"/>
      <c r="R7" s="367" t="s">
        <v>755</v>
      </c>
      <c r="S7" s="435" t="s">
        <v>756</v>
      </c>
      <c r="T7" s="438"/>
      <c r="U7" s="2"/>
      <c r="V7" s="2"/>
    </row>
    <row r="8" spans="2:25">
      <c r="F8" s="2"/>
      <c r="L8" s="2"/>
      <c r="R8" s="2"/>
      <c r="T8" s="2"/>
    </row>
    <row r="9" spans="2:25" ht="19">
      <c r="B9" s="421" t="s">
        <v>2</v>
      </c>
      <c r="L9" s="408">
        <v>15</v>
      </c>
    </row>
    <row r="10" spans="2:25" ht="26.25" hidden="1" customHeight="1">
      <c r="B10" s="500" t="s">
        <v>343</v>
      </c>
      <c r="C10" s="500"/>
      <c r="D10" s="500"/>
      <c r="E10" s="500"/>
      <c r="F10" s="500"/>
      <c r="G10" s="500"/>
      <c r="H10" s="500"/>
      <c r="I10" s="500"/>
      <c r="J10" s="500"/>
      <c r="K10" s="500"/>
      <c r="L10" s="500"/>
      <c r="M10" s="500"/>
      <c r="N10" s="500"/>
      <c r="O10" s="500"/>
      <c r="P10" s="500"/>
      <c r="Q10" s="500"/>
      <c r="R10" s="500"/>
      <c r="S10" s="500"/>
      <c r="T10" s="500"/>
      <c r="U10" s="366"/>
      <c r="V10" s="366"/>
    </row>
    <row r="11" spans="2:25">
      <c r="B11" s="333" t="s">
        <v>270</v>
      </c>
      <c r="C11" s="145" t="s">
        <v>181</v>
      </c>
      <c r="D11" s="439"/>
      <c r="E11" s="31"/>
      <c r="G11" s="31"/>
      <c r="H11" s="143" t="s">
        <v>269</v>
      </c>
      <c r="I11" s="145" t="s">
        <v>262</v>
      </c>
      <c r="J11" s="144"/>
      <c r="K11" s="129"/>
      <c r="L11" s="31"/>
      <c r="N11" s="395" t="s">
        <v>5</v>
      </c>
      <c r="P11" s="84">
        <f>IF(J11="",IF(SUM(N15:N19)&gt;0,MAX(N15:N19),P12),VLOOKUP(Input!J11,Console!$A$3:$D$10,2,FALSE))</f>
        <v>5.2499999999999998E-2</v>
      </c>
      <c r="Q11" s="1"/>
    </row>
    <row r="12" spans="2:25">
      <c r="B12" s="95" t="s">
        <v>263</v>
      </c>
      <c r="C12" s="28"/>
      <c r="D12" s="330" t="str">
        <f>IF(SUM(D15:D19)=0,"",R142)</f>
        <v/>
      </c>
      <c r="G12" s="31"/>
      <c r="H12" s="2"/>
      <c r="J12" s="2"/>
      <c r="K12" s="83"/>
      <c r="N12" s="96" t="s">
        <v>3</v>
      </c>
      <c r="P12" s="84">
        <f>IF(SUM(N15:N19)&gt;0,MAX(Console!F3,MAX(N15:N19)+Console!C3),MAX(Console!F3,IFERROR(VLOOKUP(Input!J11,Console!$A$3:$D$10,4,FALSE),0)))</f>
        <v>5.2499999999999998E-2</v>
      </c>
      <c r="Q12" s="58"/>
    </row>
    <row r="13" spans="2:25">
      <c r="B13" s="95" t="s">
        <v>782</v>
      </c>
      <c r="D13" s="492"/>
    </row>
    <row r="14" spans="2:25" ht="37.5" customHeight="1">
      <c r="B14" s="28"/>
      <c r="C14" s="28"/>
      <c r="D14" s="400" t="s">
        <v>91</v>
      </c>
      <c r="E14" s="92"/>
      <c r="F14" s="400" t="s">
        <v>260</v>
      </c>
      <c r="G14" s="93"/>
      <c r="H14" s="328" t="s">
        <v>259</v>
      </c>
      <c r="I14" s="93"/>
      <c r="J14" s="328" t="s">
        <v>261</v>
      </c>
      <c r="K14" s="93"/>
      <c r="L14" s="400" t="s">
        <v>258</v>
      </c>
      <c r="M14" s="94"/>
      <c r="N14" s="328" t="s">
        <v>296</v>
      </c>
      <c r="O14" s="94"/>
      <c r="P14" s="411" t="s">
        <v>327</v>
      </c>
      <c r="Q14" s="412"/>
      <c r="R14" s="413" t="str">
        <f>CONCATENATE("Monthly P&amp;I Repayments @ ",TEXT(P12,"0.00%"))&amp;IF(F20=0,"",CONCATENATE(" over ",IF(J15="IO",F20-L20,F20)," yrs"))</f>
        <v>Monthly P&amp;I Repayments @ 5.25%</v>
      </c>
      <c r="S14" s="412"/>
      <c r="T14" s="412"/>
      <c r="U14" s="77"/>
      <c r="V14" s="412"/>
      <c r="W14" s="414"/>
      <c r="X14" s="414"/>
      <c r="Y14" s="414"/>
    </row>
    <row r="15" spans="2:25">
      <c r="B15" s="401">
        <v>1</v>
      </c>
      <c r="C15" s="434" t="s">
        <v>271</v>
      </c>
      <c r="D15" s="439"/>
      <c r="E15" s="426" t="str">
        <f>CONCATENATE(Console!L3," - ",Console!L4," years")</f>
        <v>1 - 30 years</v>
      </c>
      <c r="F15" s="441"/>
      <c r="G15" s="426" t="s">
        <v>273</v>
      </c>
      <c r="H15" s="439"/>
      <c r="I15" s="426" t="s">
        <v>272</v>
      </c>
      <c r="J15" s="439"/>
      <c r="K15" s="426" t="str">
        <f>CONCATENATE("Optional ",Console!M3," - ",Console!M4," yrs")</f>
        <v>Optional 1 - 5 yrs</v>
      </c>
      <c r="L15" s="441"/>
      <c r="M15" s="426" t="str">
        <f>CONCATENATE(" ",$P$11*100,"% if blank")</f>
        <v xml:space="preserve"> 5.25% if blank</v>
      </c>
      <c r="N15" s="443"/>
      <c r="O15" s="31"/>
      <c r="P15" s="394">
        <f>IFERROR(IF(J15="IO",D15*IF(N15&gt;0,N15,$P$11)/12,-PMT(IF(N15&gt;0,N15,$P$11)/12,F15*12,D15,0,0)),0)</f>
        <v>0</v>
      </c>
      <c r="Q15" s="77"/>
      <c r="R15" s="394">
        <f>IFERROR(IF(F15&lt;1,0,-PMT(IF(N15="",$P$12,MAX(N15+Console!$C$3,Console!$F$3))/12,IF(J15="IO",(F15-L15)*12,F15*12),D15,0,0)),0)</f>
        <v>0</v>
      </c>
      <c r="S15" s="412"/>
      <c r="T15" s="412"/>
      <c r="U15" s="416">
        <f>IFERROR(-PMT(IF(N15&gt;0,N15,$P$11)/12,IF(J15="IO",(F15-L15)*12,F15*12),D15,0,0),0)</f>
        <v>0</v>
      </c>
      <c r="V15" s="49"/>
      <c r="W15" s="417">
        <f>IFERROR(IF(J15="IO",D15*IF(N15="",$P$12,MAX(N15+Console!$C$3,Console!$F$3))/12,-PMT(IF(N15="",$P$12,MAX(N15+Console!$C$3,Console!$F$3))/12,F15*12,D15,0,0)),0)</f>
        <v>0</v>
      </c>
      <c r="X15" s="414"/>
      <c r="Y15" s="414"/>
    </row>
    <row r="16" spans="2:25" hidden="1">
      <c r="B16" s="410">
        <v>2</v>
      </c>
      <c r="C16" s="334" t="s">
        <v>274</v>
      </c>
      <c r="D16" s="440"/>
      <c r="E16" s="427"/>
      <c r="F16" s="442"/>
      <c r="G16" s="427"/>
      <c r="H16" s="439"/>
      <c r="I16" s="427"/>
      <c r="J16" s="439"/>
      <c r="K16" s="427"/>
      <c r="L16" s="441"/>
      <c r="M16" s="427"/>
      <c r="N16" s="444"/>
      <c r="O16" s="31"/>
      <c r="P16" s="394">
        <f>IFERROR(IF(J16="IO",D16*IF(N16&gt;0,N16,$P$11)/12,-PMT(IF(N16&gt;0,N16,$P$11)/12,F16*12,D16,0,0)),0)</f>
        <v>0</v>
      </c>
      <c r="Q16" s="77"/>
      <c r="R16" s="394">
        <f>IFERROR(IF(F16&lt;1,0,-PMT(IF(N16="",$P$12,MAX(N16+Console!$C$3,Console!$F$3))/12,IF(J16="IO",(F16-L16)*12,F16*12),D16,0,0)),0)</f>
        <v>0</v>
      </c>
      <c r="S16" s="412"/>
      <c r="T16" s="412"/>
      <c r="U16" s="416">
        <f>IFERROR(-PMT(IF(N16&gt;0,N16,$P$11)/12,IF(J16="IO",(F16-L16)*12,F16*12),D16,0,0),0)</f>
        <v>0</v>
      </c>
      <c r="V16" s="49"/>
      <c r="W16" s="417">
        <f>IFERROR(IF(J16="IO",D16*IF(N16="",$P$12,MAX(N16+Console!$C$3,Console!$F$3))/12,-PMT(IF(N16="",$P$12,MAX(N16+Console!$C$3,Console!$F$3))/12,F16*12,D16,0,0)),0)</f>
        <v>0</v>
      </c>
      <c r="X16" s="414"/>
      <c r="Y16" s="414"/>
    </row>
    <row r="17" spans="1:37" hidden="1">
      <c r="B17" s="402">
        <v>3</v>
      </c>
      <c r="C17" s="409"/>
      <c r="D17" s="439"/>
      <c r="E17" s="403"/>
      <c r="F17" s="441"/>
      <c r="G17" s="403"/>
      <c r="H17" s="439"/>
      <c r="I17" s="403"/>
      <c r="J17" s="439"/>
      <c r="K17" s="403"/>
      <c r="L17" s="441"/>
      <c r="M17" s="403"/>
      <c r="N17" s="443"/>
      <c r="O17" s="31"/>
      <c r="P17" s="394">
        <f>IFERROR(IF(J17="IO",D17*IF(N17&gt;0,N17,$P$11)/12,-PMT(IF(N17&gt;0,N17,$P$11)/12,F17*12,D17,0,0)),0)</f>
        <v>0</v>
      </c>
      <c r="Q17" s="77"/>
      <c r="R17" s="394">
        <f>IFERROR(IF(F17&lt;1,0,-PMT(IF(N17="",$P$12,MAX(N17+Console!$C$3,Console!$F$3))/12,IF(J17="IO",(F17-L17)*12,F17*12),D17,0,0)),0)</f>
        <v>0</v>
      </c>
      <c r="S17" s="412"/>
      <c r="T17" s="412"/>
      <c r="U17" s="416">
        <f>IFERROR(-PMT(IF(N17&gt;0,N17,$P$11)/12,IF(J17="IO",(F17-L17)*12,F17*12),D17,0,0),0)</f>
        <v>0</v>
      </c>
      <c r="V17" s="49"/>
      <c r="W17" s="417">
        <f>IFERROR(IF(J17="IO",D17*IF(N17="",$P$12,MAX(N17+Console!$C$3,Console!$F$3))/12,-PMT(IF(N17="",$P$12,MAX(N17+Console!$C$3,Console!$F$3))/12,F17*12,D17,0,0)),0)</f>
        <v>0</v>
      </c>
      <c r="X17" s="414"/>
      <c r="Y17" s="414"/>
    </row>
    <row r="18" spans="1:37" hidden="1">
      <c r="B18" s="402">
        <v>4</v>
      </c>
      <c r="C18" s="409"/>
      <c r="D18" s="439"/>
      <c r="E18" s="403"/>
      <c r="F18" s="441"/>
      <c r="G18" s="403"/>
      <c r="H18" s="439"/>
      <c r="I18" s="403"/>
      <c r="J18" s="439"/>
      <c r="K18" s="403"/>
      <c r="L18" s="441"/>
      <c r="M18" s="403"/>
      <c r="N18" s="443"/>
      <c r="O18" s="31"/>
      <c r="P18" s="394">
        <f>IFERROR(IF(J18="IO",D18*IF(N18&gt;0,N18,$P$11)/12,-PMT(IF(N18&gt;0,N18,$P$11)/12,F18*12,D18,0,0)),0)</f>
        <v>0</v>
      </c>
      <c r="Q18" s="77"/>
      <c r="R18" s="394">
        <f>IFERROR(IF(F18&lt;1,0,-PMT(IF(N18="",$P$12,MAX(N18+Console!$C$3,Console!$F$3))/12,IF(J18="IO",(F18-L18)*12,F18*12),D18,0,0)),0)</f>
        <v>0</v>
      </c>
      <c r="S18" s="412"/>
      <c r="T18" s="412"/>
      <c r="U18" s="416">
        <f>IFERROR(-PMT(IF(N18&gt;0,N18,$P$11)/12,IF(J18="IO",(F18-L18)*12,F18*12),D18,0,0),0)</f>
        <v>0</v>
      </c>
      <c r="V18" s="49"/>
      <c r="W18" s="417">
        <f>IFERROR(IF(J18="IO",D18*IF(N18="",$P$12,MAX(N18+Console!$C$3,Console!$F$3))/12,-PMT(IF(N18="",$P$12,MAX(N18+Console!$C$3,Console!$F$3))/12,F18*12,D18,0,0)),0)</f>
        <v>0</v>
      </c>
      <c r="X18" s="414"/>
      <c r="Y18" s="414"/>
    </row>
    <row r="19" spans="1:37" hidden="1">
      <c r="B19" s="402">
        <v>5</v>
      </c>
      <c r="C19" s="409"/>
      <c r="D19" s="439"/>
      <c r="E19" s="403"/>
      <c r="F19" s="441"/>
      <c r="G19" s="403"/>
      <c r="H19" s="439"/>
      <c r="I19" s="403"/>
      <c r="J19" s="439"/>
      <c r="K19" s="403"/>
      <c r="L19" s="441"/>
      <c r="M19" s="403"/>
      <c r="N19" s="443"/>
      <c r="O19" s="31"/>
      <c r="P19" s="394">
        <f>IFERROR(IF(J19="IO",D19*IF(N19&gt;0,N19,$P$11)/12,-PMT(IF(N19&gt;0,N19,$P$11)/12,F19*12,D19,0,0)),0)</f>
        <v>0</v>
      </c>
      <c r="Q19" s="77"/>
      <c r="R19" s="394">
        <f>IFERROR(IF(F19&lt;1,0,-PMT(IF(N19="",$P$12,MAX(N19+Console!$C$3,Console!$F$3))/12,IF(J19="IO",(F19-L19)*12,F19*12),D19,0,0)),0)</f>
        <v>0</v>
      </c>
      <c r="S19" s="412"/>
      <c r="T19" s="412"/>
      <c r="U19" s="416">
        <f>IFERROR(-PMT(IF(N19&gt;0,N19,$P$11)/12,IF(J19="IO",(F19-L19)*12,F19*12),D19,0,0),0)</f>
        <v>0</v>
      </c>
      <c r="V19" s="49"/>
      <c r="W19" s="417">
        <f>IFERROR(IF(J19="IO",D19*IF(N19="",$P$12,MAX(N19+Console!$C$3,Console!$F$3))/12,-PMT(IF(N19="",$P$12,MAX(N19+Console!$C$3,Console!$F$3))/12,F19*12,D19,0,0)),0)</f>
        <v>0</v>
      </c>
      <c r="X19" s="414"/>
      <c r="Y19" s="414"/>
    </row>
    <row r="20" spans="1:37">
      <c r="B20" s="348" t="s">
        <v>149</v>
      </c>
      <c r="C20" s="31"/>
      <c r="D20" s="396">
        <f>SUM(D15:D19)</f>
        <v>0</v>
      </c>
      <c r="E20" s="31"/>
      <c r="F20" s="397">
        <f>MAX(F15:F19)</f>
        <v>0</v>
      </c>
      <c r="G20" s="31"/>
      <c r="H20" s="31"/>
      <c r="J20" s="31"/>
      <c r="L20" s="398">
        <f>MAX(L15:L19)</f>
        <v>0</v>
      </c>
      <c r="N20" s="31"/>
      <c r="P20" s="399">
        <f>SUM(P15:P19)</f>
        <v>0</v>
      </c>
      <c r="Q20" s="133"/>
      <c r="R20" s="399">
        <f>IFERROR(IF(F20&lt;1,0,-PMT(IF(N20="",$P$12,MAX(N20+Console!$C$3,Console!$F$3))/12,IF(J20="IO",(F20-L20)*12,F20*12),D20,0,0)),0)</f>
        <v>0</v>
      </c>
      <c r="S20" s="49"/>
      <c r="T20" s="138"/>
      <c r="U20" s="415"/>
      <c r="V20" s="138"/>
      <c r="W20" s="138"/>
      <c r="X20" s="414"/>
      <c r="Y20" s="414"/>
    </row>
    <row r="21" spans="1:37">
      <c r="B21" s="28"/>
      <c r="C21" s="28"/>
      <c r="D21" s="28"/>
      <c r="F21" s="28"/>
      <c r="H21" s="28"/>
      <c r="J21" s="28"/>
      <c r="L21" s="28"/>
      <c r="N21" s="28"/>
      <c r="P21" s="49"/>
      <c r="Q21" s="49"/>
      <c r="R21" s="404">
        <f>SUM(U15:U19)</f>
        <v>0</v>
      </c>
      <c r="S21" s="49"/>
      <c r="T21" s="86">
        <f>SUM(R15:R19)</f>
        <v>0</v>
      </c>
      <c r="U21" s="87"/>
      <c r="V21" s="138"/>
      <c r="W21" s="138"/>
      <c r="X21" s="414"/>
      <c r="Y21" s="414"/>
    </row>
    <row r="22" spans="1:37">
      <c r="A22" s="28"/>
      <c r="B22" s="28"/>
      <c r="C22" s="28"/>
      <c r="D22" s="54"/>
      <c r="F22" s="28"/>
      <c r="G22" s="47"/>
      <c r="H22" s="28"/>
      <c r="J22" s="28"/>
      <c r="L22" s="28"/>
      <c r="N22" s="28"/>
      <c r="P22" s="28"/>
      <c r="R22" s="28"/>
      <c r="T22" s="28"/>
      <c r="U22" s="28"/>
      <c r="V22" s="28"/>
      <c r="W22" s="28"/>
      <c r="X22" s="28"/>
      <c r="Y22" s="28"/>
      <c r="Z22" s="28"/>
      <c r="AA22" s="28"/>
      <c r="AB22" s="28"/>
      <c r="AC22" s="28"/>
      <c r="AD22" s="28"/>
      <c r="AE22" s="28"/>
      <c r="AF22" s="28"/>
      <c r="AG22" s="28"/>
      <c r="AH22" s="28"/>
      <c r="AI22" s="28"/>
      <c r="AJ22" s="28"/>
      <c r="AK22" s="28"/>
    </row>
    <row r="23" spans="1:37" ht="19">
      <c r="A23" s="28"/>
      <c r="B23" s="422" t="s">
        <v>7</v>
      </c>
      <c r="C23" s="28"/>
      <c r="D23" s="28"/>
      <c r="F23" s="405">
        <v>5</v>
      </c>
      <c r="H23" s="28"/>
      <c r="J23" s="28"/>
      <c r="L23" s="28"/>
      <c r="N23" s="49">
        <v>6</v>
      </c>
      <c r="O23" s="49"/>
      <c r="P23" s="49">
        <v>7</v>
      </c>
      <c r="Q23" s="49"/>
      <c r="R23" s="49">
        <v>8</v>
      </c>
      <c r="S23" s="49"/>
      <c r="T23" s="133">
        <v>9</v>
      </c>
      <c r="U23" s="49"/>
      <c r="V23" s="390">
        <v>10</v>
      </c>
      <c r="W23" s="28"/>
      <c r="X23" s="28"/>
      <c r="Y23" s="28"/>
      <c r="Z23" s="28"/>
      <c r="AA23" s="28"/>
      <c r="AB23" s="28"/>
      <c r="AC23" s="28"/>
      <c r="AD23" s="28"/>
      <c r="AE23" s="28"/>
      <c r="AF23" s="28"/>
      <c r="AG23" s="28"/>
      <c r="AH23" s="28"/>
      <c r="AI23" s="28"/>
      <c r="AJ23" s="28"/>
      <c r="AK23" s="28"/>
    </row>
    <row r="24" spans="1:37" ht="30.75" hidden="1" customHeight="1">
      <c r="A24" s="28"/>
      <c r="B24" s="500" t="s">
        <v>763</v>
      </c>
      <c r="C24" s="500"/>
      <c r="D24" s="500"/>
      <c r="E24" s="500"/>
      <c r="F24" s="500"/>
      <c r="G24" s="500"/>
      <c r="H24" s="500"/>
      <c r="I24" s="500"/>
      <c r="J24" s="500"/>
      <c r="K24" s="500"/>
      <c r="L24" s="500"/>
      <c r="M24" s="500"/>
      <c r="N24" s="500"/>
      <c r="O24" s="500"/>
      <c r="P24" s="500"/>
      <c r="Q24" s="500"/>
      <c r="R24" s="500"/>
      <c r="S24" s="500"/>
      <c r="T24" s="500"/>
      <c r="U24" s="366"/>
      <c r="V24" s="366"/>
      <c r="W24" s="28"/>
      <c r="X24" s="28"/>
      <c r="Y24" s="28"/>
      <c r="Z24" s="28"/>
      <c r="AA24" s="28"/>
      <c r="AB24" s="28"/>
      <c r="AC24" s="28"/>
      <c r="AD24" s="28"/>
      <c r="AE24" s="28"/>
      <c r="AF24" s="28"/>
      <c r="AG24" s="28"/>
      <c r="AH24" s="28"/>
      <c r="AI24" s="28"/>
      <c r="AJ24" s="28"/>
      <c r="AK24" s="28"/>
    </row>
    <row r="25" spans="1:37">
      <c r="A25" s="28"/>
      <c r="B25" s="319"/>
      <c r="C25" s="319"/>
      <c r="D25" s="346" t="s">
        <v>708</v>
      </c>
      <c r="E25" s="346" t="s">
        <v>707</v>
      </c>
      <c r="F25" s="346" t="s">
        <v>709</v>
      </c>
      <c r="G25" s="346"/>
      <c r="H25" s="346" t="s">
        <v>710</v>
      </c>
      <c r="I25" s="346"/>
      <c r="J25" s="346" t="s">
        <v>711</v>
      </c>
      <c r="K25" s="346"/>
      <c r="L25" s="346" t="s">
        <v>712</v>
      </c>
      <c r="M25" s="346"/>
      <c r="N25" s="347" t="s">
        <v>713</v>
      </c>
      <c r="O25" s="347"/>
      <c r="P25" s="347" t="s">
        <v>714</v>
      </c>
      <c r="Q25" s="347"/>
      <c r="R25" s="347" t="s">
        <v>715</v>
      </c>
      <c r="S25" s="347"/>
      <c r="T25" s="347" t="s">
        <v>716</v>
      </c>
      <c r="U25" s="347"/>
      <c r="V25" s="347" t="s">
        <v>717</v>
      </c>
      <c r="W25" s="347"/>
      <c r="X25" s="382" t="s">
        <v>718</v>
      </c>
      <c r="Y25" s="383" t="s">
        <v>719</v>
      </c>
      <c r="Z25" s="383" t="s">
        <v>720</v>
      </c>
      <c r="AA25" s="383" t="s">
        <v>721</v>
      </c>
      <c r="AB25" s="383" t="s">
        <v>722</v>
      </c>
      <c r="AC25" s="383" t="s">
        <v>723</v>
      </c>
      <c r="AD25" s="383" t="s">
        <v>724</v>
      </c>
      <c r="AE25" s="383" t="s">
        <v>725</v>
      </c>
      <c r="AF25" s="383" t="s">
        <v>726</v>
      </c>
      <c r="AG25" s="383" t="s">
        <v>727</v>
      </c>
      <c r="AH25" s="28"/>
      <c r="AI25" s="28"/>
      <c r="AJ25" s="28"/>
      <c r="AK25" s="28"/>
    </row>
    <row r="26" spans="1:37">
      <c r="A26" s="28"/>
      <c r="B26" s="348" t="s">
        <v>145</v>
      </c>
      <c r="C26" s="319"/>
      <c r="D26" s="445"/>
      <c r="E26" s="391"/>
      <c r="F26" s="445"/>
      <c r="G26" s="428"/>
      <c r="H26" s="445"/>
      <c r="I26" s="391"/>
      <c r="J26" s="445"/>
      <c r="K26" s="391"/>
      <c r="L26" s="445"/>
      <c r="M26" s="392"/>
      <c r="N26" s="445"/>
      <c r="O26" s="393"/>
      <c r="P26" s="445"/>
      <c r="Q26" s="391"/>
      <c r="R26" s="445"/>
      <c r="S26" s="391"/>
      <c r="T26" s="445"/>
      <c r="U26" s="391"/>
      <c r="V26" s="445"/>
      <c r="W26" s="418"/>
      <c r="X26" s="389"/>
      <c r="Y26" s="389"/>
      <c r="Z26" s="389"/>
      <c r="AA26" s="389"/>
      <c r="AB26" s="389"/>
      <c r="AC26" s="389"/>
      <c r="AD26" s="389"/>
      <c r="AE26" s="389"/>
      <c r="AF26" s="389"/>
      <c r="AG26" s="389"/>
      <c r="AH26" s="28"/>
      <c r="AI26" s="28"/>
      <c r="AJ26" s="28"/>
      <c r="AK26" s="28"/>
    </row>
    <row r="27" spans="1:37">
      <c r="A27" s="82"/>
      <c r="B27" s="82"/>
      <c r="C27" s="319"/>
      <c r="D27" s="501" t="s">
        <v>694</v>
      </c>
      <c r="E27" s="501"/>
      <c r="F27" s="501"/>
      <c r="G27" s="501"/>
      <c r="H27" s="501"/>
      <c r="I27" s="501"/>
      <c r="J27" s="501"/>
      <c r="K27" s="501"/>
      <c r="L27" s="501"/>
      <c r="M27" s="425"/>
      <c r="N27" s="425"/>
      <c r="O27" s="425"/>
      <c r="P27" s="425"/>
      <c r="Q27" s="425"/>
      <c r="R27" s="425"/>
      <c r="S27" s="425"/>
      <c r="T27" s="425"/>
      <c r="U27" s="425"/>
      <c r="V27" s="425"/>
      <c r="W27" s="28"/>
      <c r="X27" s="49"/>
      <c r="Y27" s="384"/>
      <c r="Z27" s="384"/>
      <c r="AA27" s="384"/>
      <c r="AB27" s="384"/>
      <c r="AC27" s="384"/>
      <c r="AD27" s="384"/>
      <c r="AE27" s="384"/>
      <c r="AF27" s="384"/>
      <c r="AG27" s="384"/>
      <c r="AH27" s="28"/>
      <c r="AI27" s="28"/>
      <c r="AJ27" s="28"/>
      <c r="AK27" s="28"/>
    </row>
    <row r="28" spans="1:37">
      <c r="A28" s="348"/>
      <c r="B28" s="348" t="s">
        <v>694</v>
      </c>
      <c r="C28" s="319"/>
      <c r="D28" s="446"/>
      <c r="E28" s="380"/>
      <c r="F28" s="446"/>
      <c r="G28" s="429"/>
      <c r="H28" s="446"/>
      <c r="I28" s="380"/>
      <c r="J28" s="446"/>
      <c r="K28" s="380"/>
      <c r="L28" s="446"/>
      <c r="M28" s="380"/>
      <c r="N28" s="446"/>
      <c r="O28" s="379"/>
      <c r="P28" s="446"/>
      <c r="Q28" s="380"/>
      <c r="R28" s="446"/>
      <c r="S28" s="380"/>
      <c r="T28" s="446"/>
      <c r="U28" s="380"/>
      <c r="V28" s="446"/>
      <c r="W28" s="345"/>
      <c r="X28" s="386"/>
      <c r="Y28" s="386"/>
      <c r="Z28" s="386"/>
      <c r="AA28" s="386"/>
      <c r="AB28" s="386"/>
      <c r="AC28" s="386"/>
      <c r="AD28" s="386"/>
      <c r="AE28" s="386"/>
      <c r="AF28" s="386"/>
      <c r="AG28" s="386"/>
      <c r="AH28" s="28"/>
      <c r="AI28" s="28"/>
      <c r="AJ28" s="28"/>
      <c r="AK28" s="28"/>
    </row>
    <row r="29" spans="1:37" hidden="1">
      <c r="A29" s="348"/>
      <c r="B29" s="348" t="s">
        <v>695</v>
      </c>
      <c r="C29" s="319"/>
      <c r="D29" s="344"/>
      <c r="E29" s="344"/>
      <c r="F29" s="344"/>
      <c r="G29" s="344"/>
      <c r="H29" s="344"/>
      <c r="I29" s="344"/>
      <c r="J29" s="344"/>
      <c r="K29" s="344"/>
      <c r="L29" s="344"/>
      <c r="M29" s="344"/>
      <c r="N29" s="344"/>
      <c r="O29" s="344"/>
      <c r="P29" s="344"/>
      <c r="Q29" s="344"/>
      <c r="R29" s="344"/>
      <c r="S29" s="344"/>
      <c r="T29" s="344"/>
      <c r="U29" s="344"/>
      <c r="V29" s="344"/>
      <c r="W29" s="345"/>
      <c r="X29" s="386"/>
      <c r="Y29" s="386"/>
      <c r="Z29" s="386"/>
      <c r="AA29" s="386"/>
      <c r="AB29" s="386"/>
      <c r="AC29" s="386"/>
      <c r="AD29" s="386"/>
      <c r="AE29" s="386"/>
      <c r="AF29" s="386"/>
      <c r="AG29" s="386"/>
      <c r="AH29" s="28"/>
      <c r="AI29" s="28"/>
      <c r="AJ29" s="28"/>
      <c r="AK29" s="28"/>
    </row>
    <row r="30" spans="1:37" hidden="1">
      <c r="A30" s="348"/>
      <c r="B30" s="348" t="s">
        <v>698</v>
      </c>
      <c r="C30" s="319"/>
      <c r="D30" s="329"/>
      <c r="E30" s="329"/>
      <c r="F30" s="329"/>
      <c r="G30" s="329"/>
      <c r="H30" s="329"/>
      <c r="I30" s="329"/>
      <c r="J30" s="329"/>
      <c r="K30" s="329"/>
      <c r="L30" s="329"/>
      <c r="M30" s="329"/>
      <c r="N30" s="329"/>
      <c r="O30" s="345"/>
      <c r="P30" s="329"/>
      <c r="Q30" s="329"/>
      <c r="R30" s="329"/>
      <c r="S30" s="329"/>
      <c r="T30" s="329"/>
      <c r="U30" s="329"/>
      <c r="V30" s="329"/>
      <c r="W30" s="345"/>
      <c r="X30" s="386"/>
      <c r="Y30" s="386"/>
      <c r="Z30" s="386"/>
      <c r="AA30" s="386"/>
      <c r="AB30" s="386"/>
      <c r="AC30" s="386"/>
      <c r="AD30" s="386"/>
      <c r="AE30" s="386"/>
      <c r="AF30" s="386"/>
      <c r="AG30" s="386"/>
      <c r="AH30" s="28"/>
      <c r="AI30" s="28"/>
      <c r="AJ30" s="28"/>
      <c r="AK30" s="28"/>
    </row>
    <row r="31" spans="1:37" hidden="1">
      <c r="A31" s="348"/>
      <c r="B31" s="348" t="s">
        <v>699</v>
      </c>
      <c r="C31" s="319"/>
      <c r="D31" s="329"/>
      <c r="E31" s="329"/>
      <c r="F31" s="329"/>
      <c r="G31" s="329"/>
      <c r="H31" s="329"/>
      <c r="I31" s="329"/>
      <c r="J31" s="329"/>
      <c r="K31" s="329"/>
      <c r="L31" s="329"/>
      <c r="M31" s="329"/>
      <c r="N31" s="329"/>
      <c r="O31" s="345"/>
      <c r="P31" s="329"/>
      <c r="Q31" s="329"/>
      <c r="R31" s="329"/>
      <c r="S31" s="329"/>
      <c r="T31" s="329"/>
      <c r="U31" s="329"/>
      <c r="V31" s="329"/>
      <c r="W31" s="345"/>
      <c r="X31" s="386"/>
      <c r="Y31" s="386"/>
      <c r="Z31" s="386"/>
      <c r="AA31" s="386"/>
      <c r="AB31" s="386"/>
      <c r="AC31" s="386"/>
      <c r="AD31" s="386"/>
      <c r="AE31" s="386"/>
      <c r="AF31" s="386"/>
      <c r="AG31" s="386"/>
      <c r="AH31" s="28"/>
      <c r="AI31" s="28"/>
      <c r="AJ31" s="28"/>
      <c r="AK31" s="28"/>
    </row>
    <row r="32" spans="1:37" hidden="1">
      <c r="A32" s="348"/>
      <c r="B32" s="348" t="s">
        <v>700</v>
      </c>
      <c r="C32" s="319"/>
      <c r="D32" s="329"/>
      <c r="E32" s="329"/>
      <c r="F32" s="329"/>
      <c r="G32" s="329"/>
      <c r="H32" s="329"/>
      <c r="I32" s="329"/>
      <c r="J32" s="329"/>
      <c r="K32" s="329"/>
      <c r="L32" s="329"/>
      <c r="M32" s="329"/>
      <c r="N32" s="329"/>
      <c r="O32" s="345"/>
      <c r="P32" s="329"/>
      <c r="Q32" s="329"/>
      <c r="R32" s="329"/>
      <c r="S32" s="329"/>
      <c r="T32" s="329"/>
      <c r="U32" s="329"/>
      <c r="V32" s="329"/>
      <c r="W32" s="345"/>
      <c r="X32" s="386"/>
      <c r="Y32" s="386"/>
      <c r="Z32" s="386"/>
      <c r="AA32" s="386"/>
      <c r="AB32" s="386"/>
      <c r="AC32" s="386"/>
      <c r="AD32" s="386"/>
      <c r="AE32" s="386"/>
      <c r="AF32" s="386"/>
      <c r="AG32" s="386"/>
      <c r="AH32" s="28"/>
      <c r="AI32" s="28"/>
      <c r="AJ32" s="28"/>
      <c r="AK32" s="28"/>
    </row>
    <row r="33" spans="1:37" hidden="1">
      <c r="A33" s="348"/>
      <c r="B33" s="348" t="s">
        <v>701</v>
      </c>
      <c r="C33" s="319"/>
      <c r="D33" s="329"/>
      <c r="E33" s="329"/>
      <c r="F33" s="329"/>
      <c r="G33" s="329"/>
      <c r="H33" s="329"/>
      <c r="I33" s="329"/>
      <c r="J33" s="329"/>
      <c r="K33" s="329"/>
      <c r="L33" s="329"/>
      <c r="M33" s="329"/>
      <c r="N33" s="329"/>
      <c r="O33" s="345"/>
      <c r="P33" s="329"/>
      <c r="Q33" s="329"/>
      <c r="R33" s="329"/>
      <c r="S33" s="329"/>
      <c r="T33" s="329"/>
      <c r="U33" s="329"/>
      <c r="V33" s="329"/>
      <c r="W33" s="345"/>
      <c r="X33" s="386"/>
      <c r="Y33" s="386"/>
      <c r="Z33" s="386"/>
      <c r="AA33" s="386"/>
      <c r="AB33" s="386"/>
      <c r="AC33" s="386"/>
      <c r="AD33" s="386"/>
      <c r="AE33" s="386"/>
      <c r="AF33" s="386"/>
      <c r="AG33" s="386"/>
      <c r="AH33" s="28"/>
      <c r="AI33" s="28"/>
      <c r="AJ33" s="28"/>
      <c r="AK33" s="28"/>
    </row>
    <row r="34" spans="1:37">
      <c r="A34" s="348"/>
      <c r="B34" s="351" t="s">
        <v>266</v>
      </c>
      <c r="C34" s="319"/>
      <c r="D34" s="352">
        <f>SUM(Formulas!E5:E10)</f>
        <v>0</v>
      </c>
      <c r="E34" s="319"/>
      <c r="F34" s="352">
        <f>SUM(Formulas!F5:F10)</f>
        <v>0</v>
      </c>
      <c r="G34" s="352"/>
      <c r="H34" s="352">
        <f>SUM(Formulas!G5:G10)</f>
        <v>0</v>
      </c>
      <c r="I34" s="352"/>
      <c r="J34" s="352">
        <f>SUM(Formulas!H5:H10)</f>
        <v>0</v>
      </c>
      <c r="K34" s="352"/>
      <c r="L34" s="352">
        <f>SUM(Formulas!I5:I10)</f>
        <v>0</v>
      </c>
      <c r="M34" s="352"/>
      <c r="N34" s="352">
        <f>SUM(Formulas!J5:J10)</f>
        <v>0</v>
      </c>
      <c r="O34" s="352"/>
      <c r="P34" s="352">
        <f>SUM(Formulas!K5:K10)</f>
        <v>0</v>
      </c>
      <c r="Q34" s="352"/>
      <c r="R34" s="352">
        <f>SUM(Formulas!L5:L10)</f>
        <v>0</v>
      </c>
      <c r="S34" s="352"/>
      <c r="T34" s="352">
        <f>SUM(Formulas!M5:M10)</f>
        <v>0</v>
      </c>
      <c r="U34" s="352"/>
      <c r="V34" s="352">
        <f>SUM(Formulas!N5:N10)</f>
        <v>0</v>
      </c>
      <c r="W34" s="352"/>
      <c r="X34" s="385">
        <f>SUM(Formulas!O5:O10)</f>
        <v>0</v>
      </c>
      <c r="Y34" s="385">
        <f>SUM(Formulas!P5:P10)</f>
        <v>0</v>
      </c>
      <c r="Z34" s="385">
        <f>SUM(Formulas!Q5:Q10)</f>
        <v>0</v>
      </c>
      <c r="AA34" s="385">
        <f>SUM(Formulas!R5:R10)</f>
        <v>0</v>
      </c>
      <c r="AB34" s="385">
        <f>SUM(Formulas!S5:S10)</f>
        <v>0</v>
      </c>
      <c r="AC34" s="385">
        <f>SUM(Formulas!T5:T10)</f>
        <v>0</v>
      </c>
      <c r="AD34" s="385">
        <f>SUM(Formulas!U5:U10)</f>
        <v>0</v>
      </c>
      <c r="AE34" s="385">
        <f>SUM(Formulas!V5:V10)</f>
        <v>0</v>
      </c>
      <c r="AF34" s="385">
        <f>SUM(Formulas!W5:W10)</f>
        <v>0</v>
      </c>
      <c r="AG34" s="385">
        <f>SUM(Formulas!X5:X10)</f>
        <v>0</v>
      </c>
      <c r="AH34" s="28"/>
      <c r="AI34" s="28"/>
      <c r="AJ34" s="28"/>
      <c r="AK34" s="28"/>
    </row>
    <row r="35" spans="1:37">
      <c r="A35" s="348"/>
      <c r="B35" s="348"/>
      <c r="C35" s="319"/>
      <c r="D35" s="501" t="s">
        <v>748</v>
      </c>
      <c r="E35" s="501"/>
      <c r="F35" s="501"/>
      <c r="G35" s="501"/>
      <c r="H35" s="501"/>
      <c r="I35" s="501"/>
      <c r="J35" s="501"/>
      <c r="K35" s="501"/>
      <c r="L35" s="501"/>
      <c r="M35" s="425"/>
      <c r="N35" s="425"/>
      <c r="O35" s="425"/>
      <c r="P35" s="425"/>
      <c r="Q35" s="425"/>
      <c r="R35" s="425"/>
      <c r="S35" s="425"/>
      <c r="T35" s="425"/>
      <c r="U35" s="425"/>
      <c r="V35" s="425"/>
      <c r="W35" s="407"/>
      <c r="X35" s="384"/>
      <c r="Y35" s="384"/>
      <c r="Z35" s="49"/>
      <c r="AA35" s="49"/>
      <c r="AB35" s="49"/>
      <c r="AC35" s="49"/>
      <c r="AD35" s="49"/>
      <c r="AE35" s="49"/>
      <c r="AF35" s="49"/>
      <c r="AG35" s="384"/>
      <c r="AH35" s="28"/>
      <c r="AI35" s="28"/>
      <c r="AJ35" s="28"/>
      <c r="AK35" s="28"/>
    </row>
    <row r="36" spans="1:37">
      <c r="A36" s="348"/>
      <c r="B36" s="348" t="s">
        <v>46</v>
      </c>
      <c r="C36" s="319"/>
      <c r="D36" s="446"/>
      <c r="E36" s="380"/>
      <c r="F36" s="446"/>
      <c r="G36" s="380"/>
      <c r="H36" s="446"/>
      <c r="I36" s="380"/>
      <c r="J36" s="446"/>
      <c r="K36" s="380"/>
      <c r="L36" s="446"/>
      <c r="M36" s="380"/>
      <c r="N36" s="446"/>
      <c r="O36" s="447"/>
      <c r="P36" s="446"/>
      <c r="Q36" s="429"/>
      <c r="R36" s="446"/>
      <c r="S36" s="429"/>
      <c r="T36" s="446"/>
      <c r="U36" s="429"/>
      <c r="V36" s="446"/>
      <c r="W36" s="345"/>
      <c r="X36" s="386"/>
      <c r="Y36" s="386"/>
      <c r="Z36" s="386"/>
      <c r="AA36" s="386"/>
      <c r="AB36" s="386"/>
      <c r="AC36" s="386"/>
      <c r="AD36" s="386"/>
      <c r="AE36" s="386"/>
      <c r="AF36" s="386"/>
      <c r="AG36" s="386"/>
      <c r="AH36" s="28"/>
      <c r="AI36" s="28"/>
      <c r="AJ36" s="28"/>
      <c r="AK36" s="28"/>
    </row>
    <row r="37" spans="1:37">
      <c r="A37" s="348"/>
      <c r="B37" s="348" t="s">
        <v>45</v>
      </c>
      <c r="C37" s="319"/>
      <c r="D37" s="439"/>
      <c r="E37" s="349"/>
      <c r="F37" s="439"/>
      <c r="G37" s="349"/>
      <c r="H37" s="439"/>
      <c r="I37" s="349"/>
      <c r="J37" s="439"/>
      <c r="K37" s="349"/>
      <c r="L37" s="439"/>
      <c r="M37" s="349"/>
      <c r="N37" s="439"/>
      <c r="O37" s="386"/>
      <c r="P37" s="439"/>
      <c r="Q37" s="448"/>
      <c r="R37" s="439"/>
      <c r="S37" s="448"/>
      <c r="T37" s="439"/>
      <c r="U37" s="448"/>
      <c r="V37" s="439"/>
      <c r="W37" s="345"/>
      <c r="X37" s="386"/>
      <c r="Y37" s="386"/>
      <c r="Z37" s="386"/>
      <c r="AA37" s="386"/>
      <c r="AB37" s="386"/>
      <c r="AC37" s="386"/>
      <c r="AD37" s="386"/>
      <c r="AE37" s="386"/>
      <c r="AF37" s="386"/>
      <c r="AG37" s="386"/>
      <c r="AH37" s="28"/>
      <c r="AI37" s="28"/>
      <c r="AJ37" s="28"/>
      <c r="AK37" s="28"/>
    </row>
    <row r="38" spans="1:37">
      <c r="A38" s="348"/>
      <c r="B38" s="348" t="s">
        <v>48</v>
      </c>
      <c r="C38" s="319"/>
      <c r="D38" s="439"/>
      <c r="E38" s="349"/>
      <c r="F38" s="439"/>
      <c r="G38" s="349"/>
      <c r="H38" s="439"/>
      <c r="I38" s="349"/>
      <c r="J38" s="439"/>
      <c r="K38" s="349"/>
      <c r="L38" s="439"/>
      <c r="M38" s="349"/>
      <c r="N38" s="439"/>
      <c r="O38" s="386"/>
      <c r="P38" s="439"/>
      <c r="Q38" s="448"/>
      <c r="R38" s="439"/>
      <c r="S38" s="448"/>
      <c r="T38" s="439"/>
      <c r="U38" s="448"/>
      <c r="V38" s="439"/>
      <c r="W38" s="345"/>
      <c r="X38" s="386"/>
      <c r="Y38" s="386"/>
      <c r="Z38" s="386"/>
      <c r="AA38" s="386"/>
      <c r="AB38" s="386"/>
      <c r="AC38" s="386"/>
      <c r="AD38" s="386"/>
      <c r="AE38" s="386"/>
      <c r="AF38" s="386"/>
      <c r="AG38" s="386"/>
      <c r="AH38" s="28"/>
      <c r="AI38" s="28"/>
      <c r="AJ38" s="28"/>
      <c r="AK38" s="28"/>
    </row>
    <row r="39" spans="1:37">
      <c r="A39" s="348"/>
      <c r="B39" s="348" t="s">
        <v>324</v>
      </c>
      <c r="C39" s="319"/>
      <c r="D39" s="439"/>
      <c r="E39" s="349"/>
      <c r="F39" s="439"/>
      <c r="G39" s="349"/>
      <c r="H39" s="439"/>
      <c r="I39" s="349"/>
      <c r="J39" s="439"/>
      <c r="K39" s="349"/>
      <c r="L39" s="439"/>
      <c r="M39" s="349"/>
      <c r="N39" s="439"/>
      <c r="O39" s="386"/>
      <c r="P39" s="439"/>
      <c r="Q39" s="448"/>
      <c r="R39" s="439"/>
      <c r="S39" s="448"/>
      <c r="T39" s="439"/>
      <c r="U39" s="448"/>
      <c r="V39" s="439"/>
      <c r="W39" s="345"/>
      <c r="X39" s="386"/>
      <c r="Y39" s="386"/>
      <c r="Z39" s="386"/>
      <c r="AA39" s="386"/>
      <c r="AB39" s="386"/>
      <c r="AC39" s="386"/>
      <c r="AD39" s="386"/>
      <c r="AE39" s="386"/>
      <c r="AF39" s="386"/>
      <c r="AG39" s="386"/>
      <c r="AH39" s="28"/>
      <c r="AI39" s="28"/>
      <c r="AJ39" s="28"/>
      <c r="AK39" s="28"/>
    </row>
    <row r="40" spans="1:37" hidden="1">
      <c r="A40" s="348"/>
      <c r="B40" s="348" t="s">
        <v>698</v>
      </c>
      <c r="C40" s="319"/>
      <c r="D40" s="329"/>
      <c r="E40" s="329"/>
      <c r="F40" s="329"/>
      <c r="G40" s="329"/>
      <c r="H40" s="329"/>
      <c r="I40" s="329"/>
      <c r="J40" s="329"/>
      <c r="K40" s="329"/>
      <c r="L40" s="329"/>
      <c r="M40" s="329"/>
      <c r="N40" s="329"/>
      <c r="O40" s="345"/>
      <c r="P40" s="329"/>
      <c r="Q40" s="329"/>
      <c r="R40" s="329"/>
      <c r="S40" s="329"/>
      <c r="T40" s="329"/>
      <c r="U40" s="329"/>
      <c r="V40" s="329"/>
      <c r="W40" s="345"/>
      <c r="X40" s="386"/>
      <c r="Y40" s="386"/>
      <c r="Z40" s="386"/>
      <c r="AA40" s="386"/>
      <c r="AB40" s="386"/>
      <c r="AC40" s="386"/>
      <c r="AD40" s="386"/>
      <c r="AE40" s="386"/>
      <c r="AF40" s="386"/>
      <c r="AG40" s="386"/>
      <c r="AH40" s="28"/>
      <c r="AI40" s="28"/>
      <c r="AJ40" s="28"/>
      <c r="AK40" s="28"/>
    </row>
    <row r="41" spans="1:37" hidden="1">
      <c r="A41" s="348"/>
      <c r="B41" s="348" t="s">
        <v>699</v>
      </c>
      <c r="C41" s="319"/>
      <c r="D41" s="329"/>
      <c r="E41" s="329"/>
      <c r="F41" s="329"/>
      <c r="G41" s="329"/>
      <c r="H41" s="329"/>
      <c r="I41" s="329"/>
      <c r="J41" s="329"/>
      <c r="K41" s="329"/>
      <c r="L41" s="329"/>
      <c r="M41" s="329"/>
      <c r="N41" s="329"/>
      <c r="O41" s="345"/>
      <c r="P41" s="329"/>
      <c r="Q41" s="329"/>
      <c r="R41" s="329"/>
      <c r="S41" s="329"/>
      <c r="T41" s="329"/>
      <c r="U41" s="329"/>
      <c r="V41" s="329"/>
      <c r="W41" s="345"/>
      <c r="X41" s="386"/>
      <c r="Y41" s="386"/>
      <c r="Z41" s="386"/>
      <c r="AA41" s="386"/>
      <c r="AB41" s="386"/>
      <c r="AC41" s="386"/>
      <c r="AD41" s="386"/>
      <c r="AE41" s="386"/>
      <c r="AF41" s="386"/>
      <c r="AG41" s="386"/>
      <c r="AH41" s="28"/>
      <c r="AI41" s="28"/>
      <c r="AJ41" s="28"/>
      <c r="AK41" s="28"/>
    </row>
    <row r="42" spans="1:37" hidden="1">
      <c r="A42" s="348"/>
      <c r="B42" s="348" t="s">
        <v>700</v>
      </c>
      <c r="C42" s="319"/>
      <c r="D42" s="329"/>
      <c r="E42" s="329"/>
      <c r="F42" s="329"/>
      <c r="G42" s="329"/>
      <c r="H42" s="329"/>
      <c r="I42" s="329"/>
      <c r="J42" s="329"/>
      <c r="K42" s="329"/>
      <c r="L42" s="329"/>
      <c r="M42" s="329"/>
      <c r="N42" s="329"/>
      <c r="O42" s="345"/>
      <c r="P42" s="329"/>
      <c r="Q42" s="329"/>
      <c r="R42" s="329"/>
      <c r="S42" s="329"/>
      <c r="T42" s="329"/>
      <c r="U42" s="329"/>
      <c r="V42" s="329"/>
      <c r="W42" s="345"/>
      <c r="X42" s="386"/>
      <c r="Y42" s="386"/>
      <c r="Z42" s="386"/>
      <c r="AA42" s="386"/>
      <c r="AB42" s="386"/>
      <c r="AC42" s="386"/>
      <c r="AD42" s="386"/>
      <c r="AE42" s="386"/>
      <c r="AF42" s="386"/>
      <c r="AG42" s="386"/>
      <c r="AH42" s="28"/>
      <c r="AI42" s="28"/>
      <c r="AJ42" s="28"/>
      <c r="AK42" s="28"/>
    </row>
    <row r="43" spans="1:37" hidden="1">
      <c r="A43" s="348"/>
      <c r="B43" s="348" t="s">
        <v>701</v>
      </c>
      <c r="C43" s="319"/>
      <c r="D43" s="329"/>
      <c r="E43" s="329"/>
      <c r="F43" s="329"/>
      <c r="G43" s="329"/>
      <c r="H43" s="329"/>
      <c r="I43" s="329"/>
      <c r="J43" s="329"/>
      <c r="K43" s="329"/>
      <c r="L43" s="329"/>
      <c r="M43" s="329"/>
      <c r="N43" s="329"/>
      <c r="O43" s="345"/>
      <c r="P43" s="329"/>
      <c r="Q43" s="329"/>
      <c r="R43" s="329"/>
      <c r="S43" s="329"/>
      <c r="T43" s="329"/>
      <c r="U43" s="329"/>
      <c r="V43" s="329"/>
      <c r="W43" s="345"/>
      <c r="X43" s="386"/>
      <c r="Y43" s="386"/>
      <c r="Z43" s="386"/>
      <c r="AA43" s="386"/>
      <c r="AB43" s="386"/>
      <c r="AC43" s="386"/>
      <c r="AD43" s="386"/>
      <c r="AE43" s="386"/>
      <c r="AF43" s="386"/>
      <c r="AG43" s="386"/>
      <c r="AH43" s="28"/>
      <c r="AI43" s="28"/>
      <c r="AJ43" s="28"/>
      <c r="AK43" s="28"/>
    </row>
    <row r="44" spans="1:37">
      <c r="A44" s="348"/>
      <c r="B44" s="351" t="s">
        <v>266</v>
      </c>
      <c r="C44" s="319"/>
      <c r="D44" s="352">
        <f>SUM(Formulas!E13:E20)</f>
        <v>0</v>
      </c>
      <c r="E44" s="352"/>
      <c r="F44" s="352">
        <f>SUM(Formulas!F13:F20)</f>
        <v>0</v>
      </c>
      <c r="G44" s="352"/>
      <c r="H44" s="352">
        <f>SUM(Formulas!G13:G20)</f>
        <v>0</v>
      </c>
      <c r="I44" s="352"/>
      <c r="J44" s="352">
        <f>SUM(Formulas!H13:H20)</f>
        <v>0</v>
      </c>
      <c r="K44" s="352"/>
      <c r="L44" s="352">
        <f>SUM(Formulas!I13:I20)</f>
        <v>0</v>
      </c>
      <c r="M44" s="352"/>
      <c r="N44" s="352">
        <f>SUM(Formulas!J13:J20)</f>
        <v>0</v>
      </c>
      <c r="O44" s="352"/>
      <c r="P44" s="352">
        <f>SUM(Formulas!K13:K20)</f>
        <v>0</v>
      </c>
      <c r="Q44" s="352"/>
      <c r="R44" s="352">
        <f>SUM(Formulas!L13:L20)</f>
        <v>0</v>
      </c>
      <c r="S44" s="352"/>
      <c r="T44" s="352">
        <f>SUM(Formulas!M13:M20)</f>
        <v>0</v>
      </c>
      <c r="U44" s="352"/>
      <c r="V44" s="352">
        <f>SUM(Formulas!N13:N20)</f>
        <v>0</v>
      </c>
      <c r="W44" s="352"/>
      <c r="X44" s="385">
        <f>SUM(Formulas!O13:O20)</f>
        <v>0</v>
      </c>
      <c r="Y44" s="385">
        <f>SUM(Formulas!P13:P20)</f>
        <v>0</v>
      </c>
      <c r="Z44" s="385">
        <f>SUM(Formulas!Q13:Q20)</f>
        <v>0</v>
      </c>
      <c r="AA44" s="385">
        <f>SUM(Formulas!R13:R20)</f>
        <v>0</v>
      </c>
      <c r="AB44" s="385">
        <f>SUM(Formulas!S13:S20)</f>
        <v>0</v>
      </c>
      <c r="AC44" s="385">
        <f>SUM(Formulas!T13:T20)</f>
        <v>0</v>
      </c>
      <c r="AD44" s="385">
        <f>SUM(Formulas!U13:U20)</f>
        <v>0</v>
      </c>
      <c r="AE44" s="385">
        <f>SUM(Formulas!V13:V20)</f>
        <v>0</v>
      </c>
      <c r="AF44" s="385">
        <f>SUM(Formulas!W13:W20)</f>
        <v>0</v>
      </c>
      <c r="AG44" s="385">
        <f>SUM(Formulas!X13:X20)</f>
        <v>0</v>
      </c>
      <c r="AH44" s="28"/>
      <c r="AI44" s="28"/>
      <c r="AJ44" s="28"/>
      <c r="AK44" s="28"/>
    </row>
    <row r="45" spans="1:37">
      <c r="A45" s="348"/>
      <c r="B45" s="348"/>
      <c r="C45" s="319"/>
      <c r="D45" s="501" t="s">
        <v>749</v>
      </c>
      <c r="E45" s="501"/>
      <c r="F45" s="501"/>
      <c r="G45" s="501"/>
      <c r="H45" s="501"/>
      <c r="I45" s="501"/>
      <c r="J45" s="501"/>
      <c r="K45" s="501"/>
      <c r="L45" s="501"/>
      <c r="M45" s="425"/>
      <c r="N45" s="425"/>
      <c r="O45" s="425"/>
      <c r="P45" s="425"/>
      <c r="Q45" s="425"/>
      <c r="R45" s="425"/>
      <c r="S45" s="425"/>
      <c r="T45" s="425"/>
      <c r="U45" s="425"/>
      <c r="V45" s="425"/>
      <c r="W45" s="407"/>
      <c r="X45" s="384"/>
      <c r="Y45" s="384"/>
      <c r="Z45" s="384"/>
      <c r="AA45" s="384"/>
      <c r="AB45" s="384"/>
      <c r="AC45" s="384"/>
      <c r="AD45" s="384"/>
      <c r="AE45" s="384"/>
      <c r="AF45" s="384"/>
      <c r="AG45" s="384"/>
      <c r="AH45" s="28"/>
      <c r="AI45" s="28"/>
      <c r="AJ45" s="28"/>
      <c r="AK45" s="28"/>
    </row>
    <row r="46" spans="1:37">
      <c r="A46" s="348"/>
      <c r="B46" s="348" t="s">
        <v>750</v>
      </c>
      <c r="C46" s="319"/>
      <c r="D46" s="446"/>
      <c r="E46" s="429"/>
      <c r="F46" s="446"/>
      <c r="G46" s="429"/>
      <c r="H46" s="446"/>
      <c r="I46" s="429"/>
      <c r="J46" s="446"/>
      <c r="K46" s="429"/>
      <c r="L46" s="446"/>
      <c r="M46" s="429"/>
      <c r="N46" s="446"/>
      <c r="O46" s="447"/>
      <c r="P46" s="446"/>
      <c r="Q46" s="429"/>
      <c r="R46" s="446"/>
      <c r="S46" s="429"/>
      <c r="T46" s="446"/>
      <c r="U46" s="429"/>
      <c r="V46" s="446"/>
      <c r="W46" s="345"/>
      <c r="X46" s="386"/>
      <c r="Y46" s="386"/>
      <c r="Z46" s="386"/>
      <c r="AA46" s="386"/>
      <c r="AB46" s="386"/>
      <c r="AC46" s="386"/>
      <c r="AD46" s="386"/>
      <c r="AE46" s="386"/>
      <c r="AF46" s="386"/>
      <c r="AG46" s="386"/>
      <c r="AH46" s="28"/>
      <c r="AI46" s="28"/>
      <c r="AJ46" s="28"/>
      <c r="AK46" s="28"/>
    </row>
    <row r="47" spans="1:37">
      <c r="A47" s="348"/>
      <c r="B47" s="348" t="s">
        <v>751</v>
      </c>
      <c r="C47" s="319"/>
      <c r="D47" s="439"/>
      <c r="E47" s="448"/>
      <c r="F47" s="439"/>
      <c r="G47" s="448"/>
      <c r="H47" s="439"/>
      <c r="I47" s="448"/>
      <c r="J47" s="439"/>
      <c r="K47" s="448"/>
      <c r="L47" s="439"/>
      <c r="M47" s="448"/>
      <c r="N47" s="439"/>
      <c r="O47" s="386"/>
      <c r="P47" s="439"/>
      <c r="Q47" s="448"/>
      <c r="R47" s="439"/>
      <c r="S47" s="448"/>
      <c r="T47" s="439"/>
      <c r="U47" s="448"/>
      <c r="V47" s="439"/>
      <c r="W47" s="345"/>
      <c r="X47" s="386"/>
      <c r="Y47" s="386"/>
      <c r="Z47" s="386"/>
      <c r="AA47" s="386"/>
      <c r="AB47" s="386"/>
      <c r="AC47" s="386"/>
      <c r="AD47" s="386"/>
      <c r="AE47" s="386"/>
      <c r="AF47" s="386"/>
      <c r="AG47" s="386"/>
      <c r="AH47" s="28"/>
      <c r="AI47" s="28"/>
      <c r="AJ47" s="28"/>
      <c r="AK47" s="28"/>
    </row>
    <row r="48" spans="1:37">
      <c r="A48" s="348"/>
      <c r="B48" s="348" t="s">
        <v>752</v>
      </c>
      <c r="C48" s="319"/>
      <c r="D48" s="439"/>
      <c r="E48" s="448"/>
      <c r="F48" s="439"/>
      <c r="G48" s="448"/>
      <c r="H48" s="439"/>
      <c r="I48" s="448"/>
      <c r="J48" s="439"/>
      <c r="K48" s="448"/>
      <c r="L48" s="439"/>
      <c r="M48" s="448"/>
      <c r="N48" s="439"/>
      <c r="O48" s="386"/>
      <c r="P48" s="439"/>
      <c r="Q48" s="448"/>
      <c r="R48" s="439"/>
      <c r="S48" s="448"/>
      <c r="T48" s="439"/>
      <c r="U48" s="448"/>
      <c r="V48" s="439"/>
      <c r="W48" s="345"/>
      <c r="X48" s="386"/>
      <c r="Y48" s="386"/>
      <c r="Z48" s="386"/>
      <c r="AA48" s="386"/>
      <c r="AB48" s="386"/>
      <c r="AC48" s="386"/>
      <c r="AD48" s="386"/>
      <c r="AE48" s="386"/>
      <c r="AF48" s="386"/>
      <c r="AG48" s="386"/>
      <c r="AH48" s="28"/>
      <c r="AI48" s="28"/>
      <c r="AJ48" s="28"/>
      <c r="AK48" s="28"/>
    </row>
    <row r="49" spans="1:38">
      <c r="A49" s="348"/>
      <c r="B49" s="348" t="s">
        <v>776</v>
      </c>
      <c r="C49" s="319"/>
      <c r="D49" s="439"/>
      <c r="E49" s="448"/>
      <c r="F49" s="439"/>
      <c r="G49" s="448"/>
      <c r="H49" s="439"/>
      <c r="I49" s="448"/>
      <c r="J49" s="439"/>
      <c r="K49" s="448"/>
      <c r="L49" s="439"/>
      <c r="M49" s="329"/>
      <c r="N49" s="439"/>
      <c r="O49" s="439"/>
      <c r="P49" s="439"/>
      <c r="Q49" s="439"/>
      <c r="R49" s="439"/>
      <c r="S49" s="439"/>
      <c r="T49" s="439"/>
      <c r="U49" s="439"/>
      <c r="V49" s="439"/>
      <c r="W49" s="345"/>
      <c r="X49" s="386"/>
      <c r="Y49" s="386"/>
      <c r="Z49" s="386"/>
      <c r="AA49" s="386"/>
      <c r="AB49" s="386"/>
      <c r="AC49" s="386"/>
      <c r="AD49" s="386"/>
      <c r="AE49" s="386"/>
      <c r="AF49" s="386"/>
      <c r="AG49" s="386"/>
      <c r="AH49" s="28"/>
      <c r="AI49" s="28"/>
      <c r="AJ49" s="28"/>
      <c r="AK49" s="28"/>
    </row>
    <row r="50" spans="1:38" hidden="1">
      <c r="A50" s="348"/>
      <c r="B50" s="348" t="s">
        <v>699</v>
      </c>
      <c r="C50" s="319"/>
      <c r="D50" s="329"/>
      <c r="E50" s="329"/>
      <c r="F50" s="329"/>
      <c r="G50" s="329"/>
      <c r="H50" s="329"/>
      <c r="I50" s="329"/>
      <c r="J50" s="329"/>
      <c r="K50" s="329"/>
      <c r="L50" s="329"/>
      <c r="M50" s="329"/>
      <c r="N50" s="329"/>
      <c r="O50" s="345"/>
      <c r="P50" s="329"/>
      <c r="Q50" s="329"/>
      <c r="R50" s="329"/>
      <c r="S50" s="329"/>
      <c r="T50" s="329"/>
      <c r="U50" s="329"/>
      <c r="V50" s="329"/>
      <c r="W50" s="345"/>
      <c r="X50" s="386"/>
      <c r="Y50" s="386"/>
      <c r="Z50" s="386"/>
      <c r="AA50" s="386"/>
      <c r="AB50" s="386"/>
      <c r="AC50" s="386"/>
      <c r="AD50" s="386"/>
      <c r="AE50" s="386"/>
      <c r="AF50" s="386"/>
      <c r="AG50" s="386"/>
      <c r="AH50" s="28"/>
      <c r="AI50" s="28"/>
      <c r="AJ50" s="28"/>
      <c r="AK50" s="28"/>
    </row>
    <row r="51" spans="1:38" hidden="1">
      <c r="A51" s="348"/>
      <c r="B51" s="348" t="s">
        <v>700</v>
      </c>
      <c r="C51" s="319"/>
      <c r="D51" s="329"/>
      <c r="E51" s="329"/>
      <c r="F51" s="329"/>
      <c r="G51" s="329"/>
      <c r="H51" s="329"/>
      <c r="I51" s="329"/>
      <c r="J51" s="329"/>
      <c r="K51" s="329"/>
      <c r="L51" s="329"/>
      <c r="M51" s="329"/>
      <c r="N51" s="329"/>
      <c r="O51" s="345"/>
      <c r="P51" s="329"/>
      <c r="Q51" s="329"/>
      <c r="R51" s="329"/>
      <c r="S51" s="329"/>
      <c r="T51" s="329"/>
      <c r="U51" s="329"/>
      <c r="V51" s="329"/>
      <c r="W51" s="345"/>
      <c r="X51" s="386"/>
      <c r="Y51" s="386"/>
      <c r="Z51" s="386"/>
      <c r="AA51" s="386"/>
      <c r="AB51" s="386"/>
      <c r="AC51" s="386"/>
      <c r="AD51" s="386"/>
      <c r="AE51" s="386"/>
      <c r="AF51" s="386"/>
      <c r="AG51" s="386"/>
      <c r="AH51" s="28"/>
      <c r="AI51" s="28"/>
      <c r="AJ51" s="28"/>
      <c r="AK51" s="28"/>
    </row>
    <row r="52" spans="1:38" hidden="1">
      <c r="A52" s="348"/>
      <c r="B52" s="348" t="s">
        <v>701</v>
      </c>
      <c r="C52" s="319"/>
      <c r="D52" s="329"/>
      <c r="E52" s="329"/>
      <c r="F52" s="329"/>
      <c r="G52" s="329"/>
      <c r="H52" s="329"/>
      <c r="I52" s="329"/>
      <c r="J52" s="329"/>
      <c r="K52" s="329"/>
      <c r="L52" s="329"/>
      <c r="M52" s="329"/>
      <c r="N52" s="329"/>
      <c r="O52" s="345"/>
      <c r="P52" s="329"/>
      <c r="Q52" s="329"/>
      <c r="R52" s="329"/>
      <c r="S52" s="329"/>
      <c r="T52" s="329"/>
      <c r="U52" s="329"/>
      <c r="V52" s="329"/>
      <c r="W52" s="345"/>
      <c r="X52" s="386"/>
      <c r="Y52" s="386"/>
      <c r="Z52" s="386"/>
      <c r="AA52" s="386"/>
      <c r="AB52" s="386"/>
      <c r="AC52" s="386"/>
      <c r="AD52" s="386"/>
      <c r="AE52" s="386"/>
      <c r="AF52" s="386"/>
      <c r="AG52" s="386"/>
      <c r="AH52" s="28"/>
      <c r="AI52" s="28"/>
      <c r="AJ52" s="28"/>
      <c r="AK52" s="28"/>
    </row>
    <row r="53" spans="1:38">
      <c r="A53" s="348"/>
      <c r="B53" s="351" t="s">
        <v>266</v>
      </c>
      <c r="C53" s="319"/>
      <c r="D53" s="352">
        <f>SUM(Formulas!E23:E29)</f>
        <v>0</v>
      </c>
      <c r="E53" s="319"/>
      <c r="F53" s="352">
        <f>SUM(Formulas!F23:F29)</f>
        <v>0</v>
      </c>
      <c r="G53" s="352"/>
      <c r="H53" s="352">
        <f>SUM(Formulas!G23:G29)</f>
        <v>0</v>
      </c>
      <c r="I53" s="352"/>
      <c r="J53" s="352">
        <f>SUM(Formulas!H23:H29)</f>
        <v>0</v>
      </c>
      <c r="K53" s="352"/>
      <c r="L53" s="352">
        <f>SUM(Formulas!I23:I29)</f>
        <v>0</v>
      </c>
      <c r="M53" s="352"/>
      <c r="N53" s="352">
        <f>SUM(Formulas!J23:J29)</f>
        <v>0</v>
      </c>
      <c r="O53" s="352"/>
      <c r="P53" s="352">
        <f>SUM(Formulas!K23:K29)</f>
        <v>0</v>
      </c>
      <c r="Q53" s="352"/>
      <c r="R53" s="352">
        <f>SUM(Formulas!L23:L29)</f>
        <v>0</v>
      </c>
      <c r="S53" s="352"/>
      <c r="T53" s="352">
        <f>SUM(Formulas!M23:M29)</f>
        <v>0</v>
      </c>
      <c r="U53" s="352"/>
      <c r="V53" s="352">
        <f>SUM(Formulas!N23:N29)</f>
        <v>0</v>
      </c>
      <c r="W53" s="352"/>
      <c r="X53" s="385">
        <f>SUM(Formulas!O23:O29)</f>
        <v>0</v>
      </c>
      <c r="Y53" s="385">
        <f>SUM(Formulas!P23:P29)</f>
        <v>0</v>
      </c>
      <c r="Z53" s="385">
        <f>SUM(Formulas!Q23:Q29)</f>
        <v>0</v>
      </c>
      <c r="AA53" s="385">
        <f>SUM(Formulas!R23:R29)</f>
        <v>0</v>
      </c>
      <c r="AB53" s="385">
        <f>SUM(Formulas!S23:S29)</f>
        <v>0</v>
      </c>
      <c r="AC53" s="385">
        <f>SUM(Formulas!T23:T29)</f>
        <v>0</v>
      </c>
      <c r="AD53" s="385">
        <f>SUM(Formulas!U23:U29)</f>
        <v>0</v>
      </c>
      <c r="AE53" s="385">
        <f>SUM(Formulas!V23:V29)</f>
        <v>0</v>
      </c>
      <c r="AF53" s="385">
        <f>SUM(Formulas!W23:W29)</f>
        <v>0</v>
      </c>
      <c r="AG53" s="385">
        <f>SUM(Formulas!X23:X29)</f>
        <v>0</v>
      </c>
      <c r="AH53" s="28"/>
      <c r="AI53" s="28"/>
      <c r="AJ53" s="28"/>
      <c r="AK53" s="28"/>
    </row>
    <row r="54" spans="1:38">
      <c r="A54" s="348"/>
      <c r="B54" s="348"/>
      <c r="C54" s="319"/>
      <c r="D54" s="501" t="s">
        <v>753</v>
      </c>
      <c r="E54" s="501"/>
      <c r="F54" s="501"/>
      <c r="G54" s="501"/>
      <c r="H54" s="501"/>
      <c r="I54" s="501"/>
      <c r="J54" s="501"/>
      <c r="K54" s="501"/>
      <c r="L54" s="501"/>
      <c r="M54" s="425"/>
      <c r="N54" s="425"/>
      <c r="O54" s="425"/>
      <c r="P54" s="425"/>
      <c r="Q54" s="425"/>
      <c r="R54" s="425"/>
      <c r="S54" s="425"/>
      <c r="T54" s="425"/>
      <c r="U54" s="425"/>
      <c r="V54" s="425"/>
      <c r="W54" s="407"/>
      <c r="X54" s="384"/>
      <c r="Y54" s="384"/>
      <c r="Z54" s="384"/>
      <c r="AA54" s="384"/>
      <c r="AB54" s="384"/>
      <c r="AC54" s="384"/>
      <c r="AD54" s="384"/>
      <c r="AE54" s="384"/>
      <c r="AF54" s="384"/>
      <c r="AG54" s="384"/>
      <c r="AH54" s="28"/>
      <c r="AI54" s="28"/>
      <c r="AJ54" s="28"/>
      <c r="AK54" s="28"/>
    </row>
    <row r="55" spans="1:38">
      <c r="A55" s="348"/>
      <c r="B55" s="348" t="s">
        <v>247</v>
      </c>
      <c r="C55" s="384"/>
      <c r="D55" s="446"/>
      <c r="E55" s="429"/>
      <c r="F55" s="446"/>
      <c r="G55" s="429"/>
      <c r="H55" s="446"/>
      <c r="I55" s="429"/>
      <c r="J55" s="446"/>
      <c r="K55" s="429"/>
      <c r="L55" s="446"/>
      <c r="M55" s="429"/>
      <c r="N55" s="446"/>
      <c r="O55" s="447"/>
      <c r="P55" s="446"/>
      <c r="Q55" s="429"/>
      <c r="R55" s="446"/>
      <c r="S55" s="429"/>
      <c r="T55" s="446"/>
      <c r="U55" s="429"/>
      <c r="V55" s="446"/>
      <c r="W55" s="345"/>
      <c r="X55" s="386"/>
      <c r="Y55" s="386"/>
      <c r="Z55" s="386"/>
      <c r="AA55" s="386"/>
      <c r="AB55" s="386"/>
      <c r="AC55" s="386"/>
      <c r="AD55" s="386"/>
      <c r="AE55" s="386"/>
      <c r="AF55" s="386"/>
      <c r="AG55" s="386"/>
      <c r="AH55" s="28"/>
      <c r="AI55" s="28"/>
      <c r="AJ55" s="28"/>
      <c r="AK55" s="28"/>
    </row>
    <row r="56" spans="1:38">
      <c r="A56" s="348"/>
      <c r="B56" s="348" t="s">
        <v>248</v>
      </c>
      <c r="C56" s="319"/>
      <c r="D56" s="439"/>
      <c r="E56" s="448"/>
      <c r="F56" s="439"/>
      <c r="G56" s="448"/>
      <c r="H56" s="439"/>
      <c r="I56" s="448"/>
      <c r="J56" s="439"/>
      <c r="K56" s="448"/>
      <c r="L56" s="439"/>
      <c r="M56" s="448"/>
      <c r="N56" s="439"/>
      <c r="O56" s="386"/>
      <c r="P56" s="439"/>
      <c r="Q56" s="448"/>
      <c r="R56" s="439"/>
      <c r="S56" s="448"/>
      <c r="T56" s="439"/>
      <c r="U56" s="448"/>
      <c r="V56" s="439"/>
      <c r="W56" s="345"/>
      <c r="X56" s="386"/>
      <c r="Y56" s="386"/>
      <c r="Z56" s="386"/>
      <c r="AA56" s="386"/>
      <c r="AB56" s="386"/>
      <c r="AC56" s="386"/>
      <c r="AD56" s="386"/>
      <c r="AE56" s="386"/>
      <c r="AF56" s="386"/>
      <c r="AG56" s="386"/>
      <c r="AH56" s="28"/>
      <c r="AI56" s="28"/>
      <c r="AJ56" s="28"/>
      <c r="AK56" s="28"/>
    </row>
    <row r="57" spans="1:38">
      <c r="A57" s="348"/>
      <c r="B57" s="348" t="s">
        <v>512</v>
      </c>
      <c r="C57" s="384"/>
      <c r="D57" s="439"/>
      <c r="E57" s="448"/>
      <c r="F57" s="439"/>
      <c r="G57" s="448"/>
      <c r="H57" s="439"/>
      <c r="I57" s="448"/>
      <c r="J57" s="439"/>
      <c r="K57" s="448"/>
      <c r="L57" s="439"/>
      <c r="M57" s="448"/>
      <c r="N57" s="439"/>
      <c r="O57" s="386"/>
      <c r="P57" s="439"/>
      <c r="Q57" s="448"/>
      <c r="R57" s="439"/>
      <c r="S57" s="448"/>
      <c r="T57" s="439"/>
      <c r="U57" s="448"/>
      <c r="V57" s="439"/>
      <c r="W57" s="345"/>
      <c r="X57" s="386"/>
      <c r="Y57" s="386"/>
      <c r="Z57" s="386"/>
      <c r="AA57" s="386"/>
      <c r="AB57" s="386"/>
      <c r="AC57" s="386"/>
      <c r="AD57" s="386"/>
      <c r="AE57" s="386"/>
      <c r="AF57" s="386"/>
      <c r="AG57" s="386"/>
      <c r="AH57" s="28"/>
      <c r="AI57" s="28"/>
      <c r="AJ57" s="28"/>
      <c r="AK57" s="28"/>
    </row>
    <row r="58" spans="1:38" hidden="1">
      <c r="A58" s="348"/>
      <c r="B58" s="348" t="s">
        <v>699</v>
      </c>
      <c r="C58" s="319"/>
      <c r="D58" s="329"/>
      <c r="E58" s="329"/>
      <c r="F58" s="329"/>
      <c r="G58" s="329"/>
      <c r="H58" s="329"/>
      <c r="I58" s="329"/>
      <c r="J58" s="329"/>
      <c r="K58" s="329"/>
      <c r="L58" s="329"/>
      <c r="M58" s="329"/>
      <c r="N58" s="329"/>
      <c r="O58" s="345"/>
      <c r="P58" s="329"/>
      <c r="Q58" s="329"/>
      <c r="R58" s="329"/>
      <c r="S58" s="329"/>
      <c r="T58" s="329"/>
      <c r="U58" s="329"/>
      <c r="V58" s="329"/>
      <c r="W58" s="345"/>
      <c r="X58" s="386"/>
      <c r="Y58" s="386"/>
      <c r="Z58" s="386"/>
      <c r="AA58" s="386"/>
      <c r="AB58" s="386"/>
      <c r="AC58" s="386"/>
      <c r="AD58" s="386"/>
      <c r="AE58" s="386"/>
      <c r="AF58" s="386"/>
      <c r="AG58" s="386"/>
      <c r="AH58" s="28"/>
      <c r="AI58" s="28"/>
      <c r="AJ58" s="28"/>
      <c r="AK58" s="28"/>
    </row>
    <row r="59" spans="1:38" hidden="1">
      <c r="A59" s="348"/>
      <c r="B59" s="348" t="s">
        <v>700</v>
      </c>
      <c r="C59" s="319"/>
      <c r="D59" s="329"/>
      <c r="E59" s="329"/>
      <c r="F59" s="329"/>
      <c r="G59" s="329"/>
      <c r="H59" s="329"/>
      <c r="I59" s="329"/>
      <c r="J59" s="329"/>
      <c r="K59" s="329"/>
      <c r="L59" s="329"/>
      <c r="M59" s="329"/>
      <c r="N59" s="329"/>
      <c r="O59" s="345"/>
      <c r="P59" s="329"/>
      <c r="Q59" s="329"/>
      <c r="R59" s="329"/>
      <c r="S59" s="329"/>
      <c r="T59" s="329"/>
      <c r="U59" s="329"/>
      <c r="V59" s="329"/>
      <c r="W59" s="345"/>
      <c r="X59" s="386"/>
      <c r="Y59" s="386"/>
      <c r="Z59" s="386"/>
      <c r="AA59" s="386"/>
      <c r="AB59" s="386"/>
      <c r="AC59" s="386"/>
      <c r="AD59" s="386"/>
      <c r="AE59" s="386"/>
      <c r="AF59" s="386"/>
      <c r="AG59" s="386"/>
      <c r="AH59" s="28"/>
      <c r="AI59" s="28"/>
      <c r="AJ59" s="28"/>
      <c r="AK59" s="28"/>
    </row>
    <row r="60" spans="1:38" hidden="1">
      <c r="A60" s="348"/>
      <c r="B60" s="348" t="s">
        <v>701</v>
      </c>
      <c r="C60" s="319"/>
      <c r="D60" s="329"/>
      <c r="E60" s="329"/>
      <c r="F60" s="329"/>
      <c r="G60" s="329"/>
      <c r="H60" s="329"/>
      <c r="I60" s="329"/>
      <c r="J60" s="329"/>
      <c r="K60" s="329"/>
      <c r="L60" s="329"/>
      <c r="M60" s="329"/>
      <c r="N60" s="329"/>
      <c r="O60" s="345"/>
      <c r="P60" s="329"/>
      <c r="Q60" s="329"/>
      <c r="R60" s="329"/>
      <c r="S60" s="329"/>
      <c r="T60" s="329"/>
      <c r="U60" s="329"/>
      <c r="V60" s="329"/>
      <c r="W60" s="345"/>
      <c r="X60" s="386"/>
      <c r="Y60" s="386"/>
      <c r="Z60" s="386"/>
      <c r="AA60" s="386"/>
      <c r="AB60" s="386"/>
      <c r="AC60" s="386"/>
      <c r="AD60" s="386"/>
      <c r="AE60" s="386"/>
      <c r="AF60" s="386"/>
      <c r="AG60" s="386"/>
      <c r="AH60" s="28"/>
      <c r="AI60" s="28"/>
      <c r="AJ60" s="28"/>
      <c r="AK60" s="28"/>
    </row>
    <row r="61" spans="1:38">
      <c r="A61" s="348"/>
      <c r="B61" s="351" t="s">
        <v>266</v>
      </c>
      <c r="C61" s="319"/>
      <c r="D61" s="352">
        <f>SUM(Formulas!E32:E37)</f>
        <v>0</v>
      </c>
      <c r="E61" s="319"/>
      <c r="F61" s="352">
        <f>SUM(Formulas!F32:F37)</f>
        <v>0</v>
      </c>
      <c r="G61" s="352"/>
      <c r="H61" s="352">
        <f>SUM(Formulas!G32:G37)</f>
        <v>0</v>
      </c>
      <c r="I61" s="352"/>
      <c r="J61" s="352">
        <f>SUM(Formulas!H32:H37)</f>
        <v>0</v>
      </c>
      <c r="K61" s="352"/>
      <c r="L61" s="352">
        <f>SUM(Formulas!I32:I37)</f>
        <v>0</v>
      </c>
      <c r="M61" s="352"/>
      <c r="N61" s="352">
        <f>SUM(Formulas!J32:J37)</f>
        <v>0</v>
      </c>
      <c r="O61" s="352"/>
      <c r="P61" s="352">
        <f>SUM(Formulas!K32:K37)</f>
        <v>0</v>
      </c>
      <c r="Q61" s="352"/>
      <c r="R61" s="352">
        <f>SUM(Formulas!L32:L37)</f>
        <v>0</v>
      </c>
      <c r="S61" s="352"/>
      <c r="T61" s="352">
        <f>SUM(Formulas!M32:M37)</f>
        <v>0</v>
      </c>
      <c r="U61" s="352"/>
      <c r="V61" s="352">
        <f>SUM(Formulas!N32:N37)</f>
        <v>0</v>
      </c>
      <c r="W61" s="352"/>
      <c r="X61" s="385">
        <f>SUM(Formulas!O32:O37)</f>
        <v>0</v>
      </c>
      <c r="Y61" s="385">
        <f>SUM(Formulas!P32:P37)</f>
        <v>0</v>
      </c>
      <c r="Z61" s="385">
        <f>SUM(Formulas!Q32:Q37)</f>
        <v>0</v>
      </c>
      <c r="AA61" s="385">
        <f>SUM(Formulas!R32:R37)</f>
        <v>0</v>
      </c>
      <c r="AB61" s="385">
        <f>SUM(Formulas!S32:S37)</f>
        <v>0</v>
      </c>
      <c r="AC61" s="385">
        <f>SUM(Formulas!T32:T37)</f>
        <v>0</v>
      </c>
      <c r="AD61" s="385">
        <f>SUM(Formulas!U32:U37)</f>
        <v>0</v>
      </c>
      <c r="AE61" s="385">
        <f>SUM(Formulas!V32:V37)</f>
        <v>0</v>
      </c>
      <c r="AF61" s="385">
        <f>SUM(Formulas!W32:W37)</f>
        <v>0</v>
      </c>
      <c r="AG61" s="385">
        <f>SUM(Formulas!X32:X37)</f>
        <v>0</v>
      </c>
      <c r="AH61" s="28"/>
      <c r="AI61" s="28"/>
      <c r="AJ61" s="28"/>
      <c r="AK61" s="28"/>
    </row>
    <row r="62" spans="1:38">
      <c r="A62" s="348"/>
      <c r="B62" s="348"/>
      <c r="C62" s="319"/>
      <c r="D62" s="501" t="s">
        <v>754</v>
      </c>
      <c r="E62" s="501"/>
      <c r="F62" s="501"/>
      <c r="G62" s="501"/>
      <c r="H62" s="501"/>
      <c r="I62" s="501"/>
      <c r="J62" s="501"/>
      <c r="K62" s="501"/>
      <c r="L62" s="501"/>
      <c r="M62" s="425"/>
      <c r="N62" s="425"/>
      <c r="O62" s="425"/>
      <c r="P62" s="425"/>
      <c r="Q62" s="425"/>
      <c r="R62" s="425"/>
      <c r="S62" s="425"/>
      <c r="T62" s="425"/>
      <c r="U62" s="425"/>
      <c r="V62" s="425"/>
      <c r="W62" s="407"/>
      <c r="X62" s="384"/>
      <c r="Y62" s="384"/>
      <c r="Z62" s="384"/>
      <c r="AA62" s="384"/>
      <c r="AB62" s="384"/>
      <c r="AC62" s="384"/>
      <c r="AD62" s="384"/>
      <c r="AE62" s="384"/>
      <c r="AF62" s="384"/>
      <c r="AG62" s="384"/>
      <c r="AH62" s="28"/>
      <c r="AI62" s="28"/>
      <c r="AJ62" s="28"/>
      <c r="AK62" s="28"/>
    </row>
    <row r="63" spans="1:38">
      <c r="A63" s="348"/>
      <c r="B63" s="348" t="s">
        <v>758</v>
      </c>
      <c r="C63" s="319"/>
      <c r="D63" s="379">
        <f>'Income Calculators'!J25</f>
        <v>0</v>
      </c>
      <c r="E63" s="379"/>
      <c r="F63" s="379">
        <f>'Income Calculators'!L25</f>
        <v>0</v>
      </c>
      <c r="G63" s="379"/>
      <c r="H63" s="379">
        <f>'Income Calculators'!N25</f>
        <v>0</v>
      </c>
      <c r="I63" s="379"/>
      <c r="J63" s="379">
        <f>'Income Calculators'!P25</f>
        <v>0</v>
      </c>
      <c r="K63" s="379"/>
      <c r="L63" s="379">
        <f>'Income Calculators'!R25</f>
        <v>0</v>
      </c>
      <c r="M63" s="380"/>
      <c r="N63" s="379"/>
      <c r="O63" s="379"/>
      <c r="P63" s="381"/>
      <c r="Q63" s="379"/>
      <c r="R63" s="379"/>
      <c r="S63" s="379"/>
      <c r="T63" s="379"/>
      <c r="U63" s="379"/>
      <c r="V63" s="379"/>
      <c r="W63" s="350"/>
      <c r="X63" s="386"/>
      <c r="Y63" s="386"/>
      <c r="Z63" s="386"/>
      <c r="AA63" s="386"/>
      <c r="AB63" s="386"/>
      <c r="AC63" s="386"/>
      <c r="AD63" s="386"/>
      <c r="AE63" s="386"/>
      <c r="AF63" s="386"/>
      <c r="AG63" s="386"/>
      <c r="AH63" s="28"/>
      <c r="AI63" s="28"/>
      <c r="AJ63" s="28"/>
      <c r="AK63" s="28"/>
      <c r="AL63" s="28"/>
    </row>
    <row r="64" spans="1:38">
      <c r="A64" s="348"/>
      <c r="B64" s="348" t="s">
        <v>759</v>
      </c>
      <c r="C64" s="319"/>
      <c r="D64" s="350">
        <f>'Income Calculators'!J33</f>
        <v>0</v>
      </c>
      <c r="E64" s="350"/>
      <c r="F64" s="350">
        <f>'Income Calculators'!L33</f>
        <v>0</v>
      </c>
      <c r="G64" s="350"/>
      <c r="H64" s="350">
        <f>'Income Calculators'!N33</f>
        <v>0</v>
      </c>
      <c r="I64" s="350"/>
      <c r="J64" s="350">
        <f>'Income Calculators'!P33</f>
        <v>0</v>
      </c>
      <c r="K64" s="350"/>
      <c r="L64" s="350">
        <f>'Income Calculators'!R33</f>
        <v>0</v>
      </c>
      <c r="M64" s="349"/>
      <c r="N64" s="350"/>
      <c r="O64" s="350"/>
      <c r="P64" s="361"/>
      <c r="Q64" s="350"/>
      <c r="R64" s="350"/>
      <c r="S64" s="350"/>
      <c r="T64" s="350"/>
      <c r="U64" s="350"/>
      <c r="V64" s="350"/>
      <c r="W64" s="350"/>
      <c r="X64" s="386"/>
      <c r="Y64" s="386"/>
      <c r="Z64" s="386"/>
      <c r="AA64" s="386"/>
      <c r="AB64" s="386"/>
      <c r="AC64" s="386"/>
      <c r="AD64" s="386"/>
      <c r="AE64" s="386"/>
      <c r="AF64" s="386"/>
      <c r="AG64" s="386"/>
      <c r="AH64" s="28"/>
      <c r="AI64" s="28"/>
      <c r="AJ64" s="28"/>
      <c r="AK64" s="28"/>
      <c r="AL64" s="28"/>
    </row>
    <row r="65" spans="1:38" hidden="1">
      <c r="A65" s="348"/>
      <c r="B65" s="348" t="s">
        <v>697</v>
      </c>
      <c r="C65" s="319"/>
      <c r="D65" s="350">
        <v>0</v>
      </c>
      <c r="E65" s="350"/>
      <c r="F65" s="350">
        <v>0</v>
      </c>
      <c r="G65" s="350"/>
      <c r="H65" s="350">
        <v>0</v>
      </c>
      <c r="I65" s="350"/>
      <c r="J65" s="350">
        <v>0</v>
      </c>
      <c r="K65" s="350"/>
      <c r="L65" s="350">
        <v>0</v>
      </c>
      <c r="M65" s="349"/>
      <c r="N65" s="350"/>
      <c r="O65" s="350"/>
      <c r="P65" s="361"/>
      <c r="Q65" s="350"/>
      <c r="R65" s="350"/>
      <c r="S65" s="350"/>
      <c r="T65" s="350"/>
      <c r="U65" s="350"/>
      <c r="V65" s="350"/>
      <c r="W65" s="350"/>
      <c r="X65" s="386"/>
      <c r="Y65" s="386"/>
      <c r="Z65" s="386"/>
      <c r="AA65" s="386"/>
      <c r="AB65" s="386"/>
      <c r="AC65" s="386"/>
      <c r="AD65" s="386"/>
      <c r="AE65" s="386"/>
      <c r="AF65" s="386"/>
      <c r="AG65" s="386"/>
      <c r="AH65" s="28"/>
      <c r="AI65" s="28"/>
      <c r="AJ65" s="28"/>
      <c r="AK65" s="28"/>
      <c r="AL65" s="28"/>
    </row>
    <row r="66" spans="1:38" hidden="1">
      <c r="A66" s="348"/>
      <c r="B66" s="348" t="s">
        <v>698</v>
      </c>
      <c r="C66" s="319"/>
      <c r="D66" s="329"/>
      <c r="E66" s="329"/>
      <c r="F66" s="329"/>
      <c r="G66" s="329"/>
      <c r="H66" s="329"/>
      <c r="I66" s="329"/>
      <c r="J66" s="329"/>
      <c r="K66" s="329"/>
      <c r="L66" s="329"/>
      <c r="M66" s="329"/>
      <c r="N66" s="329"/>
      <c r="O66" s="345"/>
      <c r="P66" s="362"/>
      <c r="Q66" s="329"/>
      <c r="R66" s="329"/>
      <c r="S66" s="329"/>
      <c r="T66" s="329"/>
      <c r="U66" s="329"/>
      <c r="V66" s="329"/>
      <c r="W66" s="345"/>
      <c r="X66" s="386"/>
      <c r="Y66" s="386"/>
      <c r="Z66" s="386"/>
      <c r="AA66" s="386"/>
      <c r="AB66" s="386"/>
      <c r="AC66" s="386"/>
      <c r="AD66" s="386"/>
      <c r="AE66" s="386"/>
      <c r="AF66" s="386"/>
      <c r="AG66" s="386"/>
      <c r="AH66" s="28"/>
      <c r="AI66" s="28"/>
      <c r="AJ66" s="28"/>
      <c r="AK66" s="28"/>
    </row>
    <row r="67" spans="1:38" hidden="1">
      <c r="A67" s="348"/>
      <c r="B67" s="348" t="s">
        <v>699</v>
      </c>
      <c r="C67" s="319"/>
      <c r="D67" s="329"/>
      <c r="E67" s="329"/>
      <c r="F67" s="329"/>
      <c r="G67" s="329"/>
      <c r="H67" s="329"/>
      <c r="I67" s="329"/>
      <c r="J67" s="329"/>
      <c r="K67" s="329"/>
      <c r="L67" s="329"/>
      <c r="M67" s="329"/>
      <c r="N67" s="329"/>
      <c r="O67" s="345"/>
      <c r="P67" s="362"/>
      <c r="Q67" s="329"/>
      <c r="R67" s="329"/>
      <c r="S67" s="329"/>
      <c r="T67" s="329"/>
      <c r="U67" s="329"/>
      <c r="V67" s="329"/>
      <c r="W67" s="345"/>
      <c r="X67" s="386"/>
      <c r="Y67" s="386"/>
      <c r="Z67" s="386"/>
      <c r="AA67" s="386"/>
      <c r="AB67" s="386"/>
      <c r="AC67" s="386"/>
      <c r="AD67" s="386"/>
      <c r="AE67" s="386"/>
      <c r="AF67" s="386"/>
      <c r="AG67" s="386"/>
      <c r="AH67" s="28"/>
      <c r="AI67" s="28"/>
      <c r="AJ67" s="28"/>
      <c r="AK67" s="28"/>
    </row>
    <row r="68" spans="1:38" hidden="1">
      <c r="A68" s="348"/>
      <c r="B68" s="348" t="s">
        <v>700</v>
      </c>
      <c r="C68" s="319"/>
      <c r="D68" s="329"/>
      <c r="E68" s="329"/>
      <c r="F68" s="329"/>
      <c r="G68" s="329"/>
      <c r="H68" s="329"/>
      <c r="I68" s="329"/>
      <c r="J68" s="329"/>
      <c r="K68" s="329"/>
      <c r="L68" s="329"/>
      <c r="M68" s="329"/>
      <c r="N68" s="329"/>
      <c r="O68" s="345"/>
      <c r="P68" s="362"/>
      <c r="Q68" s="329"/>
      <c r="R68" s="329"/>
      <c r="S68" s="329"/>
      <c r="T68" s="329"/>
      <c r="U68" s="329"/>
      <c r="V68" s="329"/>
      <c r="W68" s="345"/>
      <c r="X68" s="386"/>
      <c r="Y68" s="386"/>
      <c r="Z68" s="386"/>
      <c r="AA68" s="386"/>
      <c r="AB68" s="386"/>
      <c r="AC68" s="386"/>
      <c r="AD68" s="386"/>
      <c r="AE68" s="386"/>
      <c r="AF68" s="386"/>
      <c r="AG68" s="386"/>
      <c r="AH68" s="28"/>
      <c r="AI68" s="28"/>
      <c r="AJ68" s="28"/>
      <c r="AK68" s="28"/>
    </row>
    <row r="69" spans="1:38" hidden="1">
      <c r="A69" s="348"/>
      <c r="B69" s="348" t="s">
        <v>701</v>
      </c>
      <c r="C69" s="319"/>
      <c r="D69" s="329"/>
      <c r="E69" s="329"/>
      <c r="F69" s="329"/>
      <c r="G69" s="329"/>
      <c r="H69" s="329"/>
      <c r="I69" s="329"/>
      <c r="J69" s="329"/>
      <c r="K69" s="329"/>
      <c r="L69" s="329"/>
      <c r="M69" s="329"/>
      <c r="N69" s="329"/>
      <c r="O69" s="345"/>
      <c r="P69" s="362"/>
      <c r="Q69" s="329"/>
      <c r="R69" s="329"/>
      <c r="S69" s="329"/>
      <c r="T69" s="329"/>
      <c r="U69" s="329"/>
      <c r="V69" s="329"/>
      <c r="W69" s="345"/>
      <c r="X69" s="386"/>
      <c r="Y69" s="386"/>
      <c r="Z69" s="386"/>
      <c r="AA69" s="386"/>
      <c r="AB69" s="386"/>
      <c r="AC69" s="386"/>
      <c r="AD69" s="386"/>
      <c r="AE69" s="386"/>
      <c r="AF69" s="386"/>
      <c r="AG69" s="386"/>
      <c r="AH69" s="28"/>
      <c r="AI69" s="28"/>
      <c r="AJ69" s="28"/>
      <c r="AK69" s="28"/>
    </row>
    <row r="70" spans="1:38" hidden="1">
      <c r="A70" s="348"/>
      <c r="B70" s="351" t="s">
        <v>266</v>
      </c>
      <c r="C70" s="319"/>
      <c r="D70" s="352">
        <f>SUM(Formulas!E41:E46)</f>
        <v>0</v>
      </c>
      <c r="E70" s="319"/>
      <c r="F70" s="352">
        <f>SUM(Formulas!F41:F46)</f>
        <v>0</v>
      </c>
      <c r="G70" s="352"/>
      <c r="H70" s="352">
        <f>SUM(Formulas!G41:G46)</f>
        <v>0</v>
      </c>
      <c r="I70" s="352"/>
      <c r="J70" s="352">
        <f>SUM(Formulas!H41:H46)</f>
        <v>0</v>
      </c>
      <c r="K70" s="352"/>
      <c r="L70" s="352">
        <f>SUM(Formulas!I41:I46)</f>
        <v>0</v>
      </c>
      <c r="M70" s="352"/>
      <c r="N70" s="352">
        <f>SUM(Formulas!J41:J46)</f>
        <v>0</v>
      </c>
      <c r="O70" s="352"/>
      <c r="P70" s="363">
        <f>SUM(Formulas!K41:K46)</f>
        <v>0</v>
      </c>
      <c r="Q70" s="352"/>
      <c r="R70" s="352">
        <f>SUM(Formulas!L41:L46)</f>
        <v>0</v>
      </c>
      <c r="S70" s="352"/>
      <c r="T70" s="352">
        <f>SUM(Formulas!M41:M46)</f>
        <v>0</v>
      </c>
      <c r="U70" s="352"/>
      <c r="V70" s="352">
        <f>SUM(Formulas!N41:N46)</f>
        <v>0</v>
      </c>
      <c r="W70" s="352"/>
      <c r="X70" s="385">
        <f>SUM(Formulas!O41:O46)</f>
        <v>0</v>
      </c>
      <c r="Y70" s="385">
        <f>SUM(Formulas!P41:P46)</f>
        <v>0</v>
      </c>
      <c r="Z70" s="385">
        <f>SUM(Formulas!Q41:Q46)</f>
        <v>0</v>
      </c>
      <c r="AA70" s="385">
        <f>SUM(Formulas!R41:R46)</f>
        <v>0</v>
      </c>
      <c r="AB70" s="385">
        <f>SUM(Formulas!S41:S46)</f>
        <v>0</v>
      </c>
      <c r="AC70" s="385">
        <f>SUM(Formulas!T41:T46)</f>
        <v>0</v>
      </c>
      <c r="AD70" s="385">
        <f>SUM(Formulas!U41:U46)</f>
        <v>0</v>
      </c>
      <c r="AE70" s="385">
        <f>SUM(Formulas!V41:V46)</f>
        <v>0</v>
      </c>
      <c r="AF70" s="385">
        <f>SUM(Formulas!W41:W46)</f>
        <v>0</v>
      </c>
      <c r="AG70" s="385">
        <f>SUM(Formulas!X41:X46)</f>
        <v>0</v>
      </c>
      <c r="AH70" s="28"/>
      <c r="AI70" s="28"/>
      <c r="AJ70" s="28"/>
      <c r="AK70" s="28"/>
    </row>
    <row r="71" spans="1:38">
      <c r="A71" s="348"/>
      <c r="B71" s="348"/>
      <c r="C71" s="319"/>
      <c r="D71" s="319"/>
      <c r="E71" s="319"/>
      <c r="F71" s="319"/>
      <c r="G71" s="319"/>
      <c r="H71" s="319"/>
      <c r="I71" s="319"/>
      <c r="J71" s="319"/>
      <c r="K71" s="319"/>
      <c r="L71" s="319"/>
      <c r="M71" s="319"/>
      <c r="N71" s="319"/>
      <c r="O71" s="319"/>
      <c r="P71" s="364"/>
      <c r="Q71" s="319"/>
      <c r="R71" s="319"/>
      <c r="S71" s="319"/>
      <c r="T71" s="319"/>
      <c r="U71" s="319"/>
      <c r="V71" s="319"/>
      <c r="W71" s="28"/>
      <c r="X71" s="49"/>
      <c r="Y71" s="49"/>
      <c r="Z71" s="49"/>
      <c r="AA71" s="49"/>
      <c r="AB71" s="49"/>
      <c r="AC71" s="49"/>
      <c r="AD71" s="49"/>
      <c r="AE71" s="49"/>
      <c r="AF71" s="49"/>
      <c r="AG71" s="49"/>
      <c r="AH71" s="28"/>
      <c r="AI71" s="28"/>
      <c r="AJ71" s="28"/>
      <c r="AK71" s="28"/>
    </row>
    <row r="72" spans="1:38">
      <c r="A72" s="348"/>
      <c r="B72" s="348" t="s">
        <v>706</v>
      </c>
      <c r="C72" s="319"/>
      <c r="D72" s="354">
        <f>HLOOKUP(D25,Formulas!$E$48:$X$62,2,FALSE)</f>
        <v>0</v>
      </c>
      <c r="E72" s="354" t="e">
        <f>HLOOKUP(E25,Formulas!$E$48:$X$62,2,FALSE)</f>
        <v>#N/A</v>
      </c>
      <c r="F72" s="354">
        <f>HLOOKUP(F25,Formulas!$E$48:$X$62,2,FALSE)</f>
        <v>0</v>
      </c>
      <c r="G72" s="354" t="e">
        <f>HLOOKUP(G25,Formulas!$E$48:$X$62,2,FALSE)</f>
        <v>#N/A</v>
      </c>
      <c r="H72" s="354">
        <f>HLOOKUP(H25,Formulas!$E$48:$X$62,2,FALSE)</f>
        <v>0</v>
      </c>
      <c r="I72" s="354" t="e">
        <f>HLOOKUP(I25,Formulas!$E$48:$X$62,2,FALSE)</f>
        <v>#N/A</v>
      </c>
      <c r="J72" s="354">
        <f>HLOOKUP(J25,Formulas!$E$48:$X$62,2,FALSE)</f>
        <v>0</v>
      </c>
      <c r="K72" s="354" t="e">
        <f>HLOOKUP(K25,Formulas!$E$48:$X$62,2,FALSE)</f>
        <v>#N/A</v>
      </c>
      <c r="L72" s="354">
        <f>HLOOKUP(L25,Formulas!$E$48:$X$62,2,FALSE)</f>
        <v>0</v>
      </c>
      <c r="M72" s="354" t="e">
        <f>HLOOKUP(M25,Formulas!$E$48:$X$62,2,FALSE)</f>
        <v>#N/A</v>
      </c>
      <c r="N72" s="354">
        <f>HLOOKUP(N25,Formulas!$E$48:$X$62,2,FALSE)</f>
        <v>0</v>
      </c>
      <c r="O72" s="354" t="e">
        <f>HLOOKUP(O25,Formulas!$E$48:$X$62,2,FALSE)</f>
        <v>#N/A</v>
      </c>
      <c r="P72" s="365">
        <f>HLOOKUP(P25,Formulas!$E$48:$X$62,2,FALSE)</f>
        <v>0</v>
      </c>
      <c r="Q72" s="354" t="e">
        <f>HLOOKUP(Q25,Formulas!$E$48:$X$62,2,FALSE)</f>
        <v>#N/A</v>
      </c>
      <c r="R72" s="354">
        <f>HLOOKUP(R25,Formulas!$E$48:$X$62,2,FALSE)</f>
        <v>0</v>
      </c>
      <c r="S72" s="354" t="e">
        <f>HLOOKUP(S25,Formulas!$E$48:$X$62,2,FALSE)</f>
        <v>#N/A</v>
      </c>
      <c r="T72" s="354">
        <f>HLOOKUP(T25,Formulas!$E$48:$X$62,2,FALSE)</f>
        <v>0</v>
      </c>
      <c r="U72" s="354" t="e">
        <f>HLOOKUP(U25,Formulas!$E$48:$X$62,2,FALSE)</f>
        <v>#N/A</v>
      </c>
      <c r="V72" s="354">
        <f>HLOOKUP(V25,Formulas!$E$48:$X$62,2,FALSE)</f>
        <v>0</v>
      </c>
      <c r="W72" s="354" t="e">
        <f>HLOOKUP(W25,Formulas!$E$48:$X$62,2,FALSE)</f>
        <v>#N/A</v>
      </c>
      <c r="X72" s="387">
        <f>HLOOKUP(X25,Formulas!$E$48:$X$62,2,FALSE)</f>
        <v>0</v>
      </c>
      <c r="Y72" s="387">
        <f>HLOOKUP(Y25,Formulas!$E$48:$X$62,2,FALSE)</f>
        <v>0</v>
      </c>
      <c r="Z72" s="387">
        <f>HLOOKUP(Z25,Formulas!$E$48:$X$62,2,FALSE)</f>
        <v>0</v>
      </c>
      <c r="AA72" s="387">
        <f>HLOOKUP(AA25,Formulas!$E$48:$X$62,2,FALSE)</f>
        <v>0</v>
      </c>
      <c r="AB72" s="387">
        <f>HLOOKUP(AB25,Formulas!$E$48:$X$62,2,FALSE)</f>
        <v>0</v>
      </c>
      <c r="AC72" s="387">
        <f>HLOOKUP(AC25,Formulas!$E$48:$X$62,2,FALSE)</f>
        <v>0</v>
      </c>
      <c r="AD72" s="387">
        <f>HLOOKUP(AD25,Formulas!$E$48:$X$62,2,FALSE)</f>
        <v>0</v>
      </c>
      <c r="AE72" s="387">
        <f>HLOOKUP(AE25,Formulas!$E$48:$X$62,2,FALSE)</f>
        <v>0</v>
      </c>
      <c r="AF72" s="387">
        <f>HLOOKUP(AF25,Formulas!$E$48:$X$62,2,FALSE)</f>
        <v>0</v>
      </c>
      <c r="AG72" s="387">
        <f>HLOOKUP(AG25,Formulas!$E$48:$X$62,2,FALSE)</f>
        <v>0</v>
      </c>
      <c r="AH72" s="355"/>
      <c r="AI72" s="355"/>
      <c r="AJ72" s="355"/>
      <c r="AK72" s="355"/>
    </row>
    <row r="73" spans="1:38" hidden="1">
      <c r="A73" s="348"/>
      <c r="B73" s="348" t="s">
        <v>744</v>
      </c>
      <c r="C73" s="319"/>
      <c r="D73" s="354">
        <f>HLOOKUP(D25,Formulas!$E$48:$X$62,3,FALSE)</f>
        <v>0</v>
      </c>
      <c r="E73" s="354" t="e">
        <f>HLOOKUP(E25,Formulas!$E$48:$X$62,3,FALSE)</f>
        <v>#N/A</v>
      </c>
      <c r="F73" s="354">
        <f>HLOOKUP(F25,Formulas!$E$48:$X$62,3,FALSE)</f>
        <v>0</v>
      </c>
      <c r="G73" s="354" t="e">
        <f>HLOOKUP(G25,Formulas!$E$48:$X$62,3,FALSE)</f>
        <v>#N/A</v>
      </c>
      <c r="H73" s="354">
        <f>HLOOKUP(H25,Formulas!$E$48:$X$62,3,FALSE)</f>
        <v>0</v>
      </c>
      <c r="I73" s="354" t="e">
        <f>HLOOKUP(I25,Formulas!$E$48:$X$62,3,FALSE)</f>
        <v>#N/A</v>
      </c>
      <c r="J73" s="354">
        <f>HLOOKUP(J25,Formulas!$E$48:$X$62,3,FALSE)</f>
        <v>0</v>
      </c>
      <c r="K73" s="354" t="e">
        <f>HLOOKUP(K25,Formulas!$E$48:$X$62,3,FALSE)</f>
        <v>#N/A</v>
      </c>
      <c r="L73" s="354">
        <f>HLOOKUP(L25,Formulas!$E$48:$X$62,3,FALSE)</f>
        <v>0</v>
      </c>
      <c r="M73" s="354" t="e">
        <f>HLOOKUP(M25,Formulas!$E$48:$X$62,3,FALSE)</f>
        <v>#N/A</v>
      </c>
      <c r="N73" s="354">
        <f>HLOOKUP(N25,Formulas!$E$48:$X$62,3,FALSE)</f>
        <v>0</v>
      </c>
      <c r="O73" s="354" t="e">
        <f>HLOOKUP(O25,Formulas!$E$48:$X$62,3,FALSE)</f>
        <v>#N/A</v>
      </c>
      <c r="P73" s="365">
        <f>HLOOKUP(P25,Formulas!$E$48:$X$62,3,FALSE)</f>
        <v>0</v>
      </c>
      <c r="Q73" s="354" t="e">
        <f>HLOOKUP(Q25,Formulas!$E$48:$X$62,3,FALSE)</f>
        <v>#N/A</v>
      </c>
      <c r="R73" s="354">
        <f>HLOOKUP(R25,Formulas!$E$48:$X$62,3,FALSE)</f>
        <v>0</v>
      </c>
      <c r="S73" s="354" t="e">
        <f>HLOOKUP(S25,Formulas!$E$48:$X$62,3,FALSE)</f>
        <v>#N/A</v>
      </c>
      <c r="T73" s="354">
        <f>HLOOKUP(T25,Formulas!$E$48:$X$62,3,FALSE)</f>
        <v>0</v>
      </c>
      <c r="U73" s="354" t="e">
        <f>HLOOKUP(U25,Formulas!$E$48:$X$62,3,FALSE)</f>
        <v>#N/A</v>
      </c>
      <c r="V73" s="354">
        <f>HLOOKUP(V25,Formulas!$E$48:$X$62,3,FALSE)</f>
        <v>0</v>
      </c>
      <c r="W73" s="354" t="e">
        <f>HLOOKUP(W25,Formulas!$E$48:$X$62,3,FALSE)</f>
        <v>#N/A</v>
      </c>
      <c r="X73" s="387">
        <f>HLOOKUP(X25,Formulas!$E$48:$X$62,3,FALSE)</f>
        <v>0</v>
      </c>
      <c r="Y73" s="387">
        <f>HLOOKUP(Y25,Formulas!$E$48:$X$62,3,FALSE)</f>
        <v>0</v>
      </c>
      <c r="Z73" s="387">
        <f>HLOOKUP(Z25,Formulas!$E$48:$X$62,3,FALSE)</f>
        <v>0</v>
      </c>
      <c r="AA73" s="387">
        <f>HLOOKUP(AA25,Formulas!$E$48:$X$62,3,FALSE)</f>
        <v>0</v>
      </c>
      <c r="AB73" s="387">
        <f>HLOOKUP(AB25,Formulas!$E$48:$X$62,3,FALSE)</f>
        <v>0</v>
      </c>
      <c r="AC73" s="387">
        <f>HLOOKUP(AC25,Formulas!$E$48:$X$62,3,FALSE)</f>
        <v>0</v>
      </c>
      <c r="AD73" s="387">
        <f>HLOOKUP(AD25,Formulas!$E$48:$X$62,3,FALSE)</f>
        <v>0</v>
      </c>
      <c r="AE73" s="387">
        <f>HLOOKUP(AE25,Formulas!$E$48:$X$62,3,FALSE)</f>
        <v>0</v>
      </c>
      <c r="AF73" s="387">
        <f>HLOOKUP(AF25,Formulas!$E$48:$X$62,3,FALSE)</f>
        <v>0</v>
      </c>
      <c r="AG73" s="387">
        <f>HLOOKUP(AG25,Formulas!$E$48:$X$62,3,FALSE)</f>
        <v>0</v>
      </c>
      <c r="AH73" s="355"/>
      <c r="AI73" s="355"/>
      <c r="AJ73" s="355"/>
      <c r="AK73" s="355"/>
    </row>
    <row r="74" spans="1:38" hidden="1">
      <c r="A74" s="348"/>
      <c r="B74" s="348" t="s">
        <v>733</v>
      </c>
      <c r="C74" s="29"/>
      <c r="D74" s="354">
        <f>HLOOKUP(D25,Formulas!$E$48:$X$62,4,FALSE)</f>
        <v>0</v>
      </c>
      <c r="E74" s="354" t="e">
        <f>HLOOKUP(E25,Formulas!$E$48:$X$62,4,FALSE)</f>
        <v>#N/A</v>
      </c>
      <c r="F74" s="354">
        <f>HLOOKUP(F25,Formulas!$E$48:$X$62,4,FALSE)</f>
        <v>0</v>
      </c>
      <c r="G74" s="354" t="e">
        <f>HLOOKUP(G25,Formulas!$E$48:$X$62,4,FALSE)</f>
        <v>#N/A</v>
      </c>
      <c r="H74" s="354">
        <f>HLOOKUP(H25,Formulas!$E$48:$X$62,4,FALSE)</f>
        <v>0</v>
      </c>
      <c r="I74" s="354" t="e">
        <f>HLOOKUP(I25,Formulas!$E$48:$X$62,4,FALSE)</f>
        <v>#N/A</v>
      </c>
      <c r="J74" s="354">
        <f>HLOOKUP(J25,Formulas!$E$48:$X$62,4,FALSE)</f>
        <v>0</v>
      </c>
      <c r="K74" s="354" t="e">
        <f>HLOOKUP(K25,Formulas!$E$48:$X$62,4,FALSE)</f>
        <v>#N/A</v>
      </c>
      <c r="L74" s="354">
        <f>HLOOKUP(L25,Formulas!$E$48:$X$62,4,FALSE)</f>
        <v>0</v>
      </c>
      <c r="M74" s="354" t="e">
        <f>HLOOKUP(M25,Formulas!$E$48:$X$62,4,FALSE)</f>
        <v>#N/A</v>
      </c>
      <c r="N74" s="354">
        <f>HLOOKUP(N25,Formulas!$E$48:$X$62,4,FALSE)</f>
        <v>0</v>
      </c>
      <c r="O74" s="354" t="e">
        <f>HLOOKUP(O25,Formulas!$E$48:$X$62,4,FALSE)</f>
        <v>#N/A</v>
      </c>
      <c r="P74" s="365">
        <f>HLOOKUP(P25,Formulas!$E$48:$X$62,4,FALSE)</f>
        <v>0</v>
      </c>
      <c r="Q74" s="354" t="e">
        <f>HLOOKUP(Q25,Formulas!$E$48:$X$62,4,FALSE)</f>
        <v>#N/A</v>
      </c>
      <c r="R74" s="354">
        <f>HLOOKUP(R25,Formulas!$E$48:$X$62,4,FALSE)</f>
        <v>0</v>
      </c>
      <c r="S74" s="354" t="e">
        <f>HLOOKUP(S25,Formulas!$E$48:$X$62,4,FALSE)</f>
        <v>#N/A</v>
      </c>
      <c r="T74" s="354">
        <f>HLOOKUP(T25,Formulas!$E$48:$X$62,4,FALSE)</f>
        <v>0</v>
      </c>
      <c r="U74" s="354" t="e">
        <f>HLOOKUP(U25,Formulas!$E$48:$X$62,4,FALSE)</f>
        <v>#N/A</v>
      </c>
      <c r="V74" s="354">
        <f>HLOOKUP(V25,Formulas!$E$48:$X$62,4,FALSE)</f>
        <v>0</v>
      </c>
      <c r="W74" s="354" t="e">
        <f>HLOOKUP(W25,Formulas!$E$48:$X$62,4,FALSE)</f>
        <v>#N/A</v>
      </c>
      <c r="X74" s="387">
        <f>HLOOKUP(X25,Formulas!$E$48:$X$62,4,FALSE)</f>
        <v>0</v>
      </c>
      <c r="Y74" s="387">
        <f>HLOOKUP(Y25,Formulas!$E$48:$X$62,4,FALSE)</f>
        <v>0</v>
      </c>
      <c r="Z74" s="387">
        <f>HLOOKUP(Z25,Formulas!$E$48:$X$62,4,FALSE)</f>
        <v>0</v>
      </c>
      <c r="AA74" s="387">
        <f>HLOOKUP(AA25,Formulas!$E$48:$X$62,4,FALSE)</f>
        <v>0</v>
      </c>
      <c r="AB74" s="387">
        <f>HLOOKUP(AB25,Formulas!$E$48:$X$62,4,FALSE)</f>
        <v>0</v>
      </c>
      <c r="AC74" s="387">
        <f>HLOOKUP(AC25,Formulas!$E$48:$X$62,4,FALSE)</f>
        <v>0</v>
      </c>
      <c r="AD74" s="387">
        <f>HLOOKUP(AD25,Formulas!$E$48:$X$62,4,FALSE)</f>
        <v>0</v>
      </c>
      <c r="AE74" s="387">
        <f>HLOOKUP(AE25,Formulas!$E$48:$X$62,4,FALSE)</f>
        <v>0</v>
      </c>
      <c r="AF74" s="387">
        <f>HLOOKUP(AF25,Formulas!$E$48:$X$62,4,FALSE)</f>
        <v>0</v>
      </c>
      <c r="AG74" s="387">
        <f>HLOOKUP(AG25,Formulas!$E$48:$X$62,4,FALSE)</f>
        <v>0</v>
      </c>
      <c r="AH74" s="356"/>
      <c r="AI74" s="356"/>
      <c r="AJ74" s="356"/>
      <c r="AK74" s="355"/>
    </row>
    <row r="75" spans="1:38">
      <c r="A75" s="348"/>
      <c r="B75" s="348" t="s">
        <v>705</v>
      </c>
      <c r="C75" s="28"/>
      <c r="D75" s="357">
        <f>HLOOKUP(D25,Formulas!$E$48:$X$62,12,FALSE)</f>
        <v>0</v>
      </c>
      <c r="E75" s="357" t="e">
        <f>HLOOKUP(E25,Formulas!$E$48:$X$62,12,FALSE)</f>
        <v>#N/A</v>
      </c>
      <c r="F75" s="357">
        <f>HLOOKUP(F25,Formulas!$E$48:$X$62,12,FALSE)</f>
        <v>0</v>
      </c>
      <c r="G75" s="357" t="e">
        <f>HLOOKUP(G25,Formulas!$E$48:$X$62,12,FALSE)</f>
        <v>#N/A</v>
      </c>
      <c r="H75" s="357">
        <f>HLOOKUP(H25,Formulas!$E$48:$X$62,12,FALSE)</f>
        <v>0</v>
      </c>
      <c r="I75" s="357" t="e">
        <f>HLOOKUP(I25,Formulas!$E$48:$X$62,12,FALSE)</f>
        <v>#N/A</v>
      </c>
      <c r="J75" s="357">
        <f>HLOOKUP(J25,Formulas!$E$48:$X$62,12,FALSE)</f>
        <v>0</v>
      </c>
      <c r="K75" s="357" t="e">
        <f>HLOOKUP(K25,Formulas!$E$48:$X$62,12,FALSE)</f>
        <v>#N/A</v>
      </c>
      <c r="L75" s="357">
        <f>HLOOKUP(L25,Formulas!$E$48:$X$62,12,FALSE)</f>
        <v>0</v>
      </c>
      <c r="M75" s="357" t="e">
        <f>HLOOKUP(M25,Formulas!$E$48:$X$62,12,FALSE)</f>
        <v>#N/A</v>
      </c>
      <c r="N75" s="357">
        <f>HLOOKUP(N25,Formulas!$E$48:$X$62,12,FALSE)</f>
        <v>0</v>
      </c>
      <c r="O75" s="357" t="e">
        <f>HLOOKUP(O25,Formulas!$E$48:$X$62,12,FALSE)</f>
        <v>#N/A</v>
      </c>
      <c r="P75" s="357">
        <f>HLOOKUP(P25,Formulas!$E$48:$X$62,12,FALSE)</f>
        <v>0</v>
      </c>
      <c r="Q75" s="357" t="e">
        <f>HLOOKUP(Q25,Formulas!$E$48:$X$62,12,FALSE)</f>
        <v>#N/A</v>
      </c>
      <c r="R75" s="357">
        <f>HLOOKUP(R25,Formulas!$E$48:$X$62,12,FALSE)</f>
        <v>0</v>
      </c>
      <c r="S75" s="357" t="e">
        <f>HLOOKUP(S25,Formulas!$E$48:$X$62,12,FALSE)</f>
        <v>#N/A</v>
      </c>
      <c r="T75" s="357">
        <f>HLOOKUP(T25,Formulas!$E$48:$X$62,12,FALSE)</f>
        <v>0</v>
      </c>
      <c r="U75" s="357" t="e">
        <f>HLOOKUP(U25,Formulas!$E$48:$X$62,12,FALSE)</f>
        <v>#N/A</v>
      </c>
      <c r="V75" s="357">
        <f>HLOOKUP(V25,Formulas!$E$48:$X$62,12,FALSE)</f>
        <v>0</v>
      </c>
      <c r="W75" s="357" t="e">
        <f>HLOOKUP(W25,Formulas!$E$48:$X$62,12,FALSE)</f>
        <v>#N/A</v>
      </c>
      <c r="X75" s="388">
        <f>HLOOKUP(X25,Formulas!$E$48:$X$62,12,FALSE)</f>
        <v>0</v>
      </c>
      <c r="Y75" s="388">
        <f>HLOOKUP(Y25,Formulas!$E$48:$X$62,12,FALSE)</f>
        <v>0</v>
      </c>
      <c r="Z75" s="388">
        <f>HLOOKUP(Z25,Formulas!$E$48:$X$62,12,FALSE)</f>
        <v>0</v>
      </c>
      <c r="AA75" s="388">
        <f>HLOOKUP(AA25,Formulas!$E$48:$X$62,12,FALSE)</f>
        <v>0</v>
      </c>
      <c r="AB75" s="388">
        <f>HLOOKUP(AB25,Formulas!$E$48:$X$62,12,FALSE)</f>
        <v>0</v>
      </c>
      <c r="AC75" s="388">
        <f>HLOOKUP(AC25,Formulas!$E$48:$X$62,12,FALSE)</f>
        <v>0</v>
      </c>
      <c r="AD75" s="388">
        <f>HLOOKUP(AD25,Formulas!$E$48:$X$62,12,FALSE)</f>
        <v>0</v>
      </c>
      <c r="AE75" s="388">
        <f>HLOOKUP(AE25,Formulas!$E$48:$X$62,12,FALSE)</f>
        <v>0</v>
      </c>
      <c r="AF75" s="388">
        <f>HLOOKUP(AF25,Formulas!$E$48:$X$62,12,FALSE)</f>
        <v>0</v>
      </c>
      <c r="AG75" s="388">
        <f>HLOOKUP(AG25,Formulas!$E$48:$X$62,12,FALSE)</f>
        <v>0</v>
      </c>
      <c r="AH75" s="356"/>
      <c r="AI75" s="356"/>
      <c r="AJ75" s="356"/>
      <c r="AK75" s="355"/>
    </row>
    <row r="76" spans="1:38">
      <c r="A76" s="28"/>
      <c r="B76" s="28"/>
      <c r="C76" s="28"/>
      <c r="D76" s="101"/>
      <c r="F76" s="53"/>
      <c r="H76" s="28"/>
      <c r="J76" s="28"/>
      <c r="L76" s="28"/>
      <c r="N76" s="28"/>
      <c r="P76" s="28"/>
      <c r="R76" s="28"/>
      <c r="T76" s="28"/>
      <c r="U76" s="28"/>
      <c r="V76" s="28"/>
      <c r="W76" s="28"/>
      <c r="X76" s="28"/>
      <c r="Y76" s="28"/>
      <c r="Z76" s="28"/>
      <c r="AA76" s="28"/>
      <c r="AB76" s="28"/>
      <c r="AC76" s="28"/>
      <c r="AD76" s="28"/>
      <c r="AE76" s="28"/>
      <c r="AF76" s="28"/>
      <c r="AG76" s="28"/>
      <c r="AH76" s="28"/>
      <c r="AI76" s="28"/>
      <c r="AJ76" s="28"/>
      <c r="AK76" s="28"/>
    </row>
    <row r="77" spans="1:38">
      <c r="A77" s="28"/>
      <c r="B77" s="360" t="s">
        <v>706</v>
      </c>
      <c r="C77" s="321"/>
      <c r="D77" s="359">
        <f>SUM(Formulas!E59:X59)</f>
        <v>0</v>
      </c>
      <c r="E77" s="321"/>
      <c r="F77" s="358"/>
      <c r="H77" s="28"/>
      <c r="J77" s="28"/>
      <c r="L77" s="28"/>
      <c r="N77" s="28"/>
      <c r="P77" s="28"/>
      <c r="R77" s="28"/>
      <c r="T77" s="28"/>
      <c r="U77" s="28"/>
      <c r="V77" s="28"/>
      <c r="W77" s="28"/>
      <c r="X77" s="28"/>
      <c r="Y77" s="28"/>
      <c r="Z77" s="28"/>
      <c r="AA77" s="28"/>
      <c r="AB77" s="28"/>
      <c r="AC77" s="28"/>
      <c r="AD77" s="28"/>
      <c r="AE77" s="28"/>
      <c r="AF77" s="28"/>
      <c r="AG77" s="28"/>
      <c r="AH77" s="28"/>
      <c r="AI77" s="28"/>
      <c r="AJ77" s="28"/>
      <c r="AK77" s="28"/>
    </row>
    <row r="78" spans="1:38">
      <c r="A78" s="28"/>
      <c r="B78" s="28"/>
      <c r="C78" s="28"/>
      <c r="D78" s="28"/>
      <c r="F78" s="28"/>
      <c r="H78" s="28"/>
      <c r="J78" s="28"/>
      <c r="L78" s="28"/>
      <c r="N78" s="28"/>
      <c r="P78" s="28"/>
      <c r="R78" s="28"/>
      <c r="T78" s="28"/>
      <c r="U78" s="28"/>
      <c r="V78" s="28"/>
      <c r="W78" s="28"/>
      <c r="X78" s="28"/>
      <c r="Y78" s="28"/>
      <c r="Z78" s="28"/>
      <c r="AA78" s="28"/>
      <c r="AB78" s="28"/>
      <c r="AC78" s="28"/>
      <c r="AD78" s="28"/>
      <c r="AE78" s="28"/>
      <c r="AF78" s="28"/>
      <c r="AG78" s="28"/>
      <c r="AH78" s="28"/>
      <c r="AI78" s="28"/>
      <c r="AJ78" s="28"/>
      <c r="AK78" s="28"/>
    </row>
    <row r="80" spans="1:38" ht="19">
      <c r="B80" s="421" t="s">
        <v>11</v>
      </c>
      <c r="F80" s="120">
        <v>1</v>
      </c>
      <c r="H80" s="120">
        <f>IF(H81&lt;=MAX($F$80),H81,0)</f>
        <v>0</v>
      </c>
      <c r="I80" s="120">
        <f t="shared" ref="I80:N80" si="0">IF(I81&lt;=$F$80,I81,0)</f>
        <v>0</v>
      </c>
      <c r="J80" s="120">
        <f t="shared" si="0"/>
        <v>0</v>
      </c>
      <c r="K80" s="120">
        <f t="shared" si="0"/>
        <v>0</v>
      </c>
      <c r="L80" s="120">
        <f t="shared" si="0"/>
        <v>0</v>
      </c>
      <c r="M80" s="120">
        <f t="shared" si="0"/>
        <v>0</v>
      </c>
      <c r="N80" s="120">
        <f t="shared" si="0"/>
        <v>0</v>
      </c>
    </row>
    <row r="81" spans="2:16">
      <c r="D81" s="353" t="s">
        <v>9</v>
      </c>
      <c r="E81" s="31"/>
      <c r="F81" s="337">
        <v>1</v>
      </c>
      <c r="G81" s="338"/>
      <c r="H81" s="337">
        <v>2</v>
      </c>
      <c r="I81" s="339">
        <v>2</v>
      </c>
      <c r="J81" s="337">
        <v>3</v>
      </c>
      <c r="K81" s="339">
        <v>3</v>
      </c>
      <c r="L81" s="337">
        <v>4</v>
      </c>
      <c r="M81" s="339">
        <v>4</v>
      </c>
      <c r="N81" s="337">
        <v>5</v>
      </c>
      <c r="O81" s="31"/>
    </row>
    <row r="82" spans="2:16">
      <c r="D82" s="353" t="s">
        <v>12</v>
      </c>
      <c r="E82" s="433" t="s">
        <v>13</v>
      </c>
      <c r="F82" s="449"/>
      <c r="G82" s="430"/>
      <c r="H82" s="449"/>
      <c r="I82" s="430"/>
      <c r="J82" s="449"/>
      <c r="K82" s="430"/>
      <c r="L82" s="449"/>
      <c r="M82" s="430"/>
      <c r="N82" s="449"/>
      <c r="O82" s="31"/>
    </row>
    <row r="83" spans="2:16">
      <c r="D83" s="353" t="s">
        <v>14</v>
      </c>
      <c r="E83" s="433" t="s">
        <v>15</v>
      </c>
      <c r="F83" s="449"/>
      <c r="G83" s="430"/>
      <c r="H83" s="449"/>
      <c r="I83" s="430"/>
      <c r="J83" s="449"/>
      <c r="K83" s="430"/>
      <c r="L83" s="449"/>
      <c r="M83" s="430"/>
      <c r="N83" s="449"/>
      <c r="O83" s="31"/>
    </row>
    <row r="84" spans="2:16">
      <c r="D84" s="113" t="s">
        <v>241</v>
      </c>
      <c r="E84" s="42"/>
      <c r="F84" s="79">
        <f>IF(AND(F82="",F83=""),0,IFERROR(VLOOKUP(CONCATENATE(F82,IF(F83="",0,IF(F83&gt;3,3,F83))),HEM!$D$3:$S$12,HLOOKUP(Input!F81,Formulas!$H$82:$L$86,5,FALSE),FALSE),0))*52/12</f>
        <v>0</v>
      </c>
      <c r="G84" s="79"/>
      <c r="H84" s="79">
        <f>IF(AND(H82="",H83=""),0,IFERROR(VLOOKUP(CONCATENATE(H82,IF(H83="",0,IF(H83&gt;3,3,H83))),HEM!$D$3:$S$12,HLOOKUP(Input!H81,Formulas!$H$82:$L$86,5,FALSE),FALSE),0))*52/12</f>
        <v>0</v>
      </c>
      <c r="I84" s="336"/>
      <c r="J84" s="79">
        <f>IF(AND(J82="",J83=""),0,IFERROR(VLOOKUP(CONCATENATE(J82,IF(J83="",0,IF(J83&gt;3,3,J83))),HEM!$D$3:$S$12,HLOOKUP(Input!J81,Formulas!$H$82:$L$86,5,FALSE),FALSE),0))*52/12</f>
        <v>0</v>
      </c>
      <c r="K84" s="336"/>
      <c r="L84" s="79">
        <f>IF(AND(L82="",L83=""),0,IFERROR(VLOOKUP(CONCATENATE(L82,IF(L83="",0,IF(L83&gt;3,3,L83))),HEM!$D$3:$S$12,HLOOKUP(Input!L81,Formulas!$H$82:$L$86,5,FALSE),FALSE),0))*52/12</f>
        <v>0</v>
      </c>
      <c r="M84" s="336"/>
      <c r="N84" s="79">
        <f>IF(AND(N82="",N83=""),0,IFERROR(VLOOKUP(CONCATENATE(N82,IF(N83="",0,IF(N83&gt;3,3,N83))),HEM!$D$3:$S$12,HLOOKUP(Input!N81,Formulas!$H$82:$L$86,5,FALSE),FALSE),0))*52/12</f>
        <v>0</v>
      </c>
    </row>
    <row r="85" spans="2:16">
      <c r="B85" s="131"/>
      <c r="F85" s="88"/>
      <c r="G85" s="31"/>
      <c r="H85" s="2"/>
      <c r="I85" s="31"/>
      <c r="J85" s="2"/>
      <c r="K85" s="31"/>
      <c r="L85" s="2"/>
      <c r="M85" s="31"/>
      <c r="N85" s="2"/>
    </row>
    <row r="86" spans="2:16">
      <c r="B86" s="423" t="s">
        <v>16</v>
      </c>
      <c r="F86" s="118">
        <v>1</v>
      </c>
      <c r="G86" s="41"/>
      <c r="H86" s="118">
        <v>2</v>
      </c>
      <c r="I86" s="117"/>
      <c r="J86" s="118">
        <v>3</v>
      </c>
      <c r="K86" s="117"/>
      <c r="L86" s="118">
        <v>4</v>
      </c>
      <c r="M86" s="117"/>
      <c r="N86" s="118">
        <v>5</v>
      </c>
    </row>
    <row r="87" spans="2:16">
      <c r="D87" s="353" t="s">
        <v>17</v>
      </c>
      <c r="E87" s="433" t="s">
        <v>27</v>
      </c>
      <c r="F87" s="439"/>
      <c r="G87" s="450"/>
      <c r="H87" s="451"/>
      <c r="I87" s="450"/>
      <c r="J87" s="451"/>
      <c r="K87" s="450"/>
      <c r="L87" s="451"/>
      <c r="M87" s="450"/>
      <c r="N87" s="451"/>
      <c r="O87" s="31"/>
      <c r="P87" s="146" t="s">
        <v>218</v>
      </c>
    </row>
    <row r="88" spans="2:16">
      <c r="D88" s="114" t="s">
        <v>25</v>
      </c>
      <c r="E88" s="42"/>
      <c r="F88" s="439"/>
      <c r="G88" s="450"/>
      <c r="H88" s="451"/>
      <c r="I88" s="450"/>
      <c r="J88" s="451"/>
      <c r="K88" s="450"/>
      <c r="L88" s="451"/>
      <c r="M88" s="450"/>
      <c r="N88" s="451"/>
      <c r="O88" s="31"/>
      <c r="P88" s="146" t="s">
        <v>162</v>
      </c>
    </row>
    <row r="89" spans="2:16">
      <c r="D89" s="114" t="s">
        <v>18</v>
      </c>
      <c r="E89" s="42"/>
      <c r="F89" s="439"/>
      <c r="G89" s="450"/>
      <c r="H89" s="451"/>
      <c r="I89" s="450"/>
      <c r="J89" s="451"/>
      <c r="K89" s="450"/>
      <c r="L89" s="451"/>
      <c r="M89" s="450"/>
      <c r="N89" s="451"/>
      <c r="O89" s="31"/>
      <c r="P89" s="146" t="s">
        <v>219</v>
      </c>
    </row>
    <row r="90" spans="2:16">
      <c r="D90" s="114" t="s">
        <v>19</v>
      </c>
      <c r="E90" s="42"/>
      <c r="F90" s="439"/>
      <c r="G90" s="450"/>
      <c r="H90" s="451"/>
      <c r="I90" s="450"/>
      <c r="J90" s="451"/>
      <c r="K90" s="450"/>
      <c r="L90" s="451"/>
      <c r="M90" s="450"/>
      <c r="N90" s="451"/>
      <c r="O90" s="31"/>
      <c r="P90" s="146" t="s">
        <v>158</v>
      </c>
    </row>
    <row r="91" spans="2:16">
      <c r="D91" s="114" t="s">
        <v>20</v>
      </c>
      <c r="E91" s="42"/>
      <c r="F91" s="439"/>
      <c r="G91" s="450"/>
      <c r="H91" s="451"/>
      <c r="I91" s="450"/>
      <c r="J91" s="451"/>
      <c r="K91" s="450"/>
      <c r="L91" s="451"/>
      <c r="M91" s="450"/>
      <c r="N91" s="451"/>
      <c r="O91" s="31"/>
      <c r="P91" s="146" t="s">
        <v>163</v>
      </c>
    </row>
    <row r="92" spans="2:16">
      <c r="D92" s="114" t="s">
        <v>242</v>
      </c>
      <c r="E92" s="42"/>
      <c r="F92" s="439"/>
      <c r="G92" s="450"/>
      <c r="H92" s="451"/>
      <c r="I92" s="450"/>
      <c r="J92" s="451"/>
      <c r="K92" s="450"/>
      <c r="L92" s="451"/>
      <c r="M92" s="450"/>
      <c r="N92" s="451"/>
      <c r="O92" s="31"/>
      <c r="P92" s="146" t="s">
        <v>164</v>
      </c>
    </row>
    <row r="93" spans="2:16">
      <c r="D93" s="114" t="s">
        <v>243</v>
      </c>
      <c r="E93" s="42"/>
      <c r="F93" s="439"/>
      <c r="G93" s="450"/>
      <c r="H93" s="451"/>
      <c r="I93" s="450"/>
      <c r="J93" s="451"/>
      <c r="K93" s="450"/>
      <c r="L93" s="451"/>
      <c r="M93" s="450"/>
      <c r="N93" s="451"/>
      <c r="O93" s="31"/>
      <c r="P93" s="146" t="s">
        <v>164</v>
      </c>
    </row>
    <row r="94" spans="2:16">
      <c r="D94" s="114" t="s">
        <v>21</v>
      </c>
      <c r="E94" s="42"/>
      <c r="F94" s="439"/>
      <c r="G94" s="450"/>
      <c r="H94" s="451"/>
      <c r="I94" s="450"/>
      <c r="J94" s="451"/>
      <c r="K94" s="450"/>
      <c r="L94" s="451"/>
      <c r="M94" s="450"/>
      <c r="N94" s="451"/>
      <c r="O94" s="31"/>
      <c r="P94" s="146" t="s">
        <v>159</v>
      </c>
    </row>
    <row r="95" spans="2:16">
      <c r="D95" s="114" t="s">
        <v>23</v>
      </c>
      <c r="E95" s="42"/>
      <c r="F95" s="439"/>
      <c r="G95" s="450"/>
      <c r="H95" s="451"/>
      <c r="I95" s="450"/>
      <c r="J95" s="451"/>
      <c r="K95" s="450"/>
      <c r="L95" s="451"/>
      <c r="M95" s="450"/>
      <c r="N95" s="451"/>
      <c r="O95" s="31"/>
      <c r="P95" s="146" t="s">
        <v>161</v>
      </c>
    </row>
    <row r="96" spans="2:16">
      <c r="D96" s="114" t="s">
        <v>26</v>
      </c>
      <c r="E96" s="42"/>
      <c r="F96" s="439"/>
      <c r="G96" s="450"/>
      <c r="H96" s="451"/>
      <c r="I96" s="450"/>
      <c r="J96" s="451"/>
      <c r="K96" s="450"/>
      <c r="L96" s="451"/>
      <c r="M96" s="450"/>
      <c r="N96" s="451"/>
      <c r="O96" s="31"/>
      <c r="P96" s="146" t="s">
        <v>166</v>
      </c>
    </row>
    <row r="97" spans="2:22">
      <c r="D97" s="114" t="s">
        <v>24</v>
      </c>
      <c r="E97" s="432"/>
      <c r="F97" s="439"/>
      <c r="G97" s="450"/>
      <c r="H97" s="451"/>
      <c r="I97" s="450"/>
      <c r="J97" s="451"/>
      <c r="K97" s="450"/>
      <c r="L97" s="451"/>
      <c r="M97" s="450"/>
      <c r="N97" s="451"/>
      <c r="O97" s="31"/>
      <c r="P97" s="146" t="s">
        <v>165</v>
      </c>
    </row>
    <row r="98" spans="2:22">
      <c r="D98" s="113" t="s">
        <v>22</v>
      </c>
      <c r="E98" s="432"/>
      <c r="F98" s="439"/>
      <c r="G98" s="450"/>
      <c r="H98" s="451"/>
      <c r="I98" s="450"/>
      <c r="J98" s="451"/>
      <c r="K98" s="450"/>
      <c r="L98" s="451"/>
      <c r="M98" s="450"/>
      <c r="N98" s="451"/>
      <c r="O98" s="31"/>
      <c r="P98" s="146" t="s">
        <v>160</v>
      </c>
    </row>
    <row r="99" spans="2:22">
      <c r="D99" s="114" t="s">
        <v>197</v>
      </c>
      <c r="F99" s="335">
        <f>SUM(F87:F98)</f>
        <v>0</v>
      </c>
      <c r="G99" s="115"/>
      <c r="H99" s="336">
        <f>SUM(H87:H98)</f>
        <v>0</v>
      </c>
      <c r="I99" s="115"/>
      <c r="J99" s="336">
        <f>SUM(J87:J98)</f>
        <v>0</v>
      </c>
      <c r="K99" s="116"/>
      <c r="L99" s="336">
        <f>SUM(L87:L98)</f>
        <v>0</v>
      </c>
      <c r="M99" s="116"/>
      <c r="N99" s="336">
        <f>SUM(N87:N98)</f>
        <v>0</v>
      </c>
    </row>
    <row r="101" spans="2:22">
      <c r="D101" s="102" t="s">
        <v>198</v>
      </c>
      <c r="F101" s="27">
        <f>SUM(Formulas!H90:L90)</f>
        <v>0</v>
      </c>
    </row>
    <row r="103" spans="2:22">
      <c r="P103" s="28"/>
      <c r="R103" s="28"/>
      <c r="T103" s="28"/>
      <c r="U103" s="28"/>
      <c r="V103" s="28"/>
    </row>
    <row r="104" spans="2:22" ht="19">
      <c r="B104" s="421" t="s">
        <v>240</v>
      </c>
      <c r="J104" s="138">
        <v>109</v>
      </c>
      <c r="P104" s="28"/>
      <c r="R104" s="28"/>
      <c r="T104" s="28"/>
      <c r="U104" s="28"/>
      <c r="V104" s="28"/>
    </row>
    <row r="105" spans="2:22" ht="87.75" hidden="1" customHeight="1">
      <c r="B105" s="500" t="s">
        <v>764</v>
      </c>
      <c r="C105" s="500"/>
      <c r="D105" s="500"/>
      <c r="E105" s="500"/>
      <c r="F105" s="500"/>
      <c r="G105" s="500"/>
      <c r="H105" s="500"/>
      <c r="I105" s="500"/>
      <c r="J105" s="500"/>
      <c r="K105" s="500"/>
      <c r="L105" s="500"/>
      <c r="M105" s="500"/>
      <c r="N105" s="500"/>
      <c r="O105" s="500"/>
      <c r="P105" s="500"/>
      <c r="Q105" s="500"/>
      <c r="R105" s="500"/>
      <c r="S105" s="500"/>
      <c r="T105" s="500"/>
      <c r="U105" s="366"/>
      <c r="V105" s="366"/>
    </row>
    <row r="106" spans="2:22" ht="30" customHeight="1">
      <c r="D106" s="130" t="s">
        <v>28</v>
      </c>
      <c r="E106" s="97"/>
      <c r="F106" s="130" t="s">
        <v>8</v>
      </c>
      <c r="G106" s="97"/>
      <c r="H106" s="130" t="s">
        <v>29</v>
      </c>
      <c r="I106" s="97"/>
      <c r="J106" s="121" t="s">
        <v>30</v>
      </c>
      <c r="K106" s="97"/>
      <c r="L106" s="130" t="s">
        <v>285</v>
      </c>
      <c r="M106" s="97"/>
      <c r="N106" s="328" t="s">
        <v>187</v>
      </c>
      <c r="O106" s="97"/>
      <c r="P106" s="122" t="s">
        <v>286</v>
      </c>
      <c r="Q106" s="39"/>
      <c r="R106" s="39"/>
      <c r="S106" s="39"/>
      <c r="T106" s="39"/>
      <c r="U106" s="39"/>
      <c r="V106" s="39"/>
    </row>
    <row r="107" spans="2:22">
      <c r="B107" s="343">
        <v>1</v>
      </c>
      <c r="C107" s="431" t="s">
        <v>172</v>
      </c>
      <c r="D107" s="452"/>
      <c r="E107" s="419" t="s">
        <v>745</v>
      </c>
      <c r="F107" s="430"/>
      <c r="G107" s="419" t="s">
        <v>778</v>
      </c>
      <c r="H107" s="453"/>
      <c r="I107" s="436" t="s">
        <v>779</v>
      </c>
      <c r="J107" s="453"/>
      <c r="K107" s="436" t="s">
        <v>278</v>
      </c>
      <c r="L107" s="453"/>
      <c r="M107" s="419" t="s">
        <v>4</v>
      </c>
      <c r="N107" s="449"/>
      <c r="O107" s="43"/>
      <c r="P107" s="123">
        <f>Formulas!M101/12</f>
        <v>0</v>
      </c>
      <c r="Q107" s="39"/>
      <c r="R107" s="491" t="str">
        <f>IF(OR(D107="HECS / HELP ",D107="Child Maintenance ",D107="Rental Expense "),"",IF(AND(MAX(H107:L107)&gt;0,F107="",D107="Investment Mortgage"),"&lt;-- Please Select an Applicant",IF(AND(L107&gt;0,MAX(H107:J107)=0),"&lt;-- Please enter a balance or limit","")))</f>
        <v/>
      </c>
      <c r="S107" s="39"/>
      <c r="T107" s="39"/>
      <c r="U107" s="39"/>
      <c r="V107" s="39"/>
    </row>
    <row r="108" spans="2:22">
      <c r="B108" s="343">
        <v>2</v>
      </c>
      <c r="C108" s="431" t="s">
        <v>275</v>
      </c>
      <c r="D108" s="452"/>
      <c r="E108" s="419" t="s">
        <v>746</v>
      </c>
      <c r="F108" s="430"/>
      <c r="G108" s="419" t="s">
        <v>255</v>
      </c>
      <c r="H108" s="453"/>
      <c r="I108" s="436" t="s">
        <v>276</v>
      </c>
      <c r="J108" s="453"/>
      <c r="K108" s="436" t="s">
        <v>277</v>
      </c>
      <c r="L108" s="453"/>
      <c r="M108" s="419" t="s">
        <v>4</v>
      </c>
      <c r="N108" s="449"/>
      <c r="O108" s="44"/>
      <c r="P108" s="123">
        <f>Formulas!M102/12</f>
        <v>0</v>
      </c>
      <c r="Q108" s="39"/>
      <c r="R108" s="491" t="str">
        <f t="shared" ref="R108:R131" si="1">IF(OR(D108="HECS / HELP ",D108="Child Maintenance ",D108="Rental Expense "),"",IF(AND(MAX(H108:L108)&gt;0,F108="",D108="Investment Mortgage"),"&lt;-- Please Select an Applicant",IF(AND(L108&gt;0,MAX(H108:J108)=0),"&lt;-- Please enter a balance or limit","")))</f>
        <v/>
      </c>
      <c r="S108" s="39"/>
      <c r="T108" s="39"/>
      <c r="U108" s="39"/>
      <c r="V108" s="39"/>
    </row>
    <row r="109" spans="2:22" hidden="1">
      <c r="B109" s="343">
        <v>3</v>
      </c>
      <c r="C109" s="128"/>
      <c r="D109" s="452"/>
      <c r="E109" s="341"/>
      <c r="F109" s="430"/>
      <c r="G109" s="340"/>
      <c r="H109" s="453"/>
      <c r="I109" s="454"/>
      <c r="J109" s="453"/>
      <c r="K109" s="454"/>
      <c r="L109" s="453"/>
      <c r="M109" s="430"/>
      <c r="N109" s="449"/>
      <c r="O109" s="44"/>
      <c r="P109" s="123">
        <f>Formulas!M103/12</f>
        <v>0</v>
      </c>
      <c r="Q109" s="39"/>
      <c r="R109" s="491" t="str">
        <f t="shared" si="1"/>
        <v/>
      </c>
      <c r="S109" s="39"/>
      <c r="T109" s="39"/>
      <c r="U109" s="39"/>
      <c r="V109" s="39"/>
    </row>
    <row r="110" spans="2:22" hidden="1">
      <c r="B110" s="343">
        <v>4</v>
      </c>
      <c r="C110" s="128"/>
      <c r="D110" s="452"/>
      <c r="E110" s="341"/>
      <c r="F110" s="430"/>
      <c r="G110" s="340"/>
      <c r="H110" s="453"/>
      <c r="I110" s="454"/>
      <c r="J110" s="453"/>
      <c r="K110" s="454"/>
      <c r="L110" s="453"/>
      <c r="M110" s="430"/>
      <c r="N110" s="449"/>
      <c r="O110" s="44"/>
      <c r="P110" s="123">
        <f>Formulas!M104/12</f>
        <v>0</v>
      </c>
      <c r="Q110" s="39"/>
      <c r="R110" s="491" t="str">
        <f t="shared" si="1"/>
        <v/>
      </c>
      <c r="S110" s="39"/>
      <c r="T110" s="39"/>
      <c r="U110" s="39"/>
      <c r="V110" s="39"/>
    </row>
    <row r="111" spans="2:22" hidden="1">
      <c r="B111" s="343">
        <v>5</v>
      </c>
      <c r="C111" s="128"/>
      <c r="D111" s="452"/>
      <c r="E111" s="341"/>
      <c r="F111" s="430"/>
      <c r="G111" s="340"/>
      <c r="H111" s="453"/>
      <c r="I111" s="454"/>
      <c r="J111" s="453"/>
      <c r="K111" s="454"/>
      <c r="L111" s="453"/>
      <c r="M111" s="430"/>
      <c r="N111" s="449"/>
      <c r="O111" s="44"/>
      <c r="P111" s="123">
        <f>Formulas!M105/12</f>
        <v>0</v>
      </c>
      <c r="Q111" s="39"/>
      <c r="R111" s="491" t="str">
        <f t="shared" si="1"/>
        <v/>
      </c>
      <c r="S111" s="39"/>
      <c r="T111" s="39"/>
      <c r="U111" s="39"/>
      <c r="V111" s="39"/>
    </row>
    <row r="112" spans="2:22" hidden="1">
      <c r="B112" s="343">
        <v>6</v>
      </c>
      <c r="C112" s="128"/>
      <c r="D112" s="452"/>
      <c r="E112" s="341"/>
      <c r="F112" s="430"/>
      <c r="G112" s="340"/>
      <c r="H112" s="453"/>
      <c r="I112" s="454"/>
      <c r="J112" s="453"/>
      <c r="K112" s="454"/>
      <c r="L112" s="453"/>
      <c r="M112" s="430"/>
      <c r="N112" s="449"/>
      <c r="O112" s="44"/>
      <c r="P112" s="123">
        <f>Formulas!M106/12</f>
        <v>0</v>
      </c>
      <c r="Q112" s="39"/>
      <c r="R112" s="491" t="str">
        <f t="shared" si="1"/>
        <v/>
      </c>
      <c r="S112" s="39"/>
      <c r="T112" s="39"/>
      <c r="U112" s="39"/>
      <c r="V112" s="39"/>
    </row>
    <row r="113" spans="2:22" hidden="1">
      <c r="B113" s="343">
        <v>7</v>
      </c>
      <c r="C113" s="128"/>
      <c r="D113" s="452"/>
      <c r="E113" s="341"/>
      <c r="F113" s="430"/>
      <c r="G113" s="340"/>
      <c r="H113" s="453"/>
      <c r="I113" s="454"/>
      <c r="J113" s="453"/>
      <c r="K113" s="454"/>
      <c r="L113" s="453"/>
      <c r="M113" s="430"/>
      <c r="N113" s="449"/>
      <c r="O113" s="44"/>
      <c r="P113" s="123">
        <f>Formulas!M107/12</f>
        <v>0</v>
      </c>
      <c r="Q113" s="39"/>
      <c r="R113" s="491" t="str">
        <f t="shared" si="1"/>
        <v/>
      </c>
      <c r="S113" s="39"/>
      <c r="T113" s="39"/>
      <c r="U113" s="39"/>
      <c r="V113" s="39"/>
    </row>
    <row r="114" spans="2:22" hidden="1">
      <c r="B114" s="343">
        <v>8</v>
      </c>
      <c r="C114" s="128"/>
      <c r="D114" s="452"/>
      <c r="E114" s="341"/>
      <c r="F114" s="430"/>
      <c r="G114" s="340"/>
      <c r="H114" s="453"/>
      <c r="I114" s="454"/>
      <c r="J114" s="453"/>
      <c r="K114" s="454"/>
      <c r="L114" s="453"/>
      <c r="M114" s="430"/>
      <c r="N114" s="449"/>
      <c r="O114" s="44"/>
      <c r="P114" s="123">
        <f>Formulas!M108/12</f>
        <v>0</v>
      </c>
      <c r="Q114" s="39"/>
      <c r="R114" s="491" t="str">
        <f t="shared" si="1"/>
        <v/>
      </c>
      <c r="S114" s="39"/>
      <c r="T114" s="39"/>
      <c r="U114" s="39"/>
      <c r="V114" s="39"/>
    </row>
    <row r="115" spans="2:22" hidden="1">
      <c r="B115" s="343">
        <v>9</v>
      </c>
      <c r="C115" s="128"/>
      <c r="D115" s="452"/>
      <c r="E115" s="341"/>
      <c r="F115" s="430"/>
      <c r="G115" s="340"/>
      <c r="H115" s="453"/>
      <c r="I115" s="454"/>
      <c r="J115" s="453"/>
      <c r="K115" s="454"/>
      <c r="L115" s="453"/>
      <c r="M115" s="430"/>
      <c r="N115" s="449"/>
      <c r="O115" s="44"/>
      <c r="P115" s="123">
        <f>Formulas!M109/12</f>
        <v>0</v>
      </c>
      <c r="Q115" s="39"/>
      <c r="R115" s="491" t="str">
        <f t="shared" si="1"/>
        <v/>
      </c>
      <c r="S115" s="39"/>
      <c r="T115" s="39"/>
      <c r="U115" s="39"/>
      <c r="V115" s="39"/>
    </row>
    <row r="116" spans="2:22" hidden="1">
      <c r="B116" s="343">
        <v>10</v>
      </c>
      <c r="C116" s="128"/>
      <c r="D116" s="452"/>
      <c r="E116" s="341"/>
      <c r="F116" s="430"/>
      <c r="G116" s="340"/>
      <c r="H116" s="453"/>
      <c r="I116" s="454"/>
      <c r="J116" s="453"/>
      <c r="K116" s="454"/>
      <c r="L116" s="453"/>
      <c r="M116" s="430"/>
      <c r="N116" s="449"/>
      <c r="O116" s="44"/>
      <c r="P116" s="123">
        <f>Formulas!M110/12</f>
        <v>0</v>
      </c>
      <c r="Q116" s="39"/>
      <c r="R116" s="491" t="str">
        <f t="shared" si="1"/>
        <v/>
      </c>
      <c r="S116" s="39"/>
      <c r="T116" s="39"/>
      <c r="U116" s="39"/>
      <c r="V116" s="39"/>
    </row>
    <row r="117" spans="2:22" hidden="1">
      <c r="B117" s="343">
        <v>11</v>
      </c>
      <c r="C117" s="128"/>
      <c r="D117" s="452"/>
      <c r="E117" s="341"/>
      <c r="F117" s="430"/>
      <c r="G117" s="340"/>
      <c r="H117" s="453"/>
      <c r="I117" s="454"/>
      <c r="J117" s="453"/>
      <c r="K117" s="454"/>
      <c r="L117" s="453"/>
      <c r="M117" s="430"/>
      <c r="N117" s="449"/>
      <c r="O117" s="44"/>
      <c r="P117" s="123">
        <f>Formulas!M111/12</f>
        <v>0</v>
      </c>
      <c r="Q117" s="39"/>
      <c r="R117" s="491" t="str">
        <f t="shared" si="1"/>
        <v/>
      </c>
      <c r="S117" s="39"/>
      <c r="T117" s="39"/>
      <c r="U117" s="39"/>
      <c r="V117" s="39"/>
    </row>
    <row r="118" spans="2:22" hidden="1">
      <c r="B118" s="343">
        <v>12</v>
      </c>
      <c r="C118" s="2"/>
      <c r="D118" s="452"/>
      <c r="E118" s="341"/>
      <c r="F118" s="430"/>
      <c r="G118" s="340"/>
      <c r="H118" s="453"/>
      <c r="I118" s="454"/>
      <c r="J118" s="453"/>
      <c r="K118" s="454"/>
      <c r="L118" s="453"/>
      <c r="M118" s="430"/>
      <c r="N118" s="449"/>
      <c r="O118" s="44"/>
      <c r="P118" s="123">
        <f>Formulas!M112/12</f>
        <v>0</v>
      </c>
      <c r="Q118" s="39"/>
      <c r="R118" s="491" t="str">
        <f t="shared" si="1"/>
        <v/>
      </c>
      <c r="S118" s="39"/>
      <c r="T118" s="39"/>
      <c r="U118" s="39"/>
      <c r="V118" s="39"/>
    </row>
    <row r="119" spans="2:22" hidden="1">
      <c r="B119" s="343">
        <v>13</v>
      </c>
      <c r="C119" s="2"/>
      <c r="D119" s="452"/>
      <c r="E119" s="341"/>
      <c r="F119" s="430"/>
      <c r="G119" s="340"/>
      <c r="H119" s="453"/>
      <c r="I119" s="454"/>
      <c r="J119" s="453"/>
      <c r="K119" s="454"/>
      <c r="L119" s="453"/>
      <c r="M119" s="430"/>
      <c r="N119" s="449"/>
      <c r="O119" s="44"/>
      <c r="P119" s="123">
        <f>Formulas!M113/12</f>
        <v>0</v>
      </c>
      <c r="Q119" s="39"/>
      <c r="R119" s="491" t="str">
        <f t="shared" si="1"/>
        <v/>
      </c>
      <c r="S119" s="39"/>
      <c r="T119" s="39"/>
      <c r="U119" s="39"/>
      <c r="V119" s="39"/>
    </row>
    <row r="120" spans="2:22" hidden="1">
      <c r="B120" s="343">
        <v>14</v>
      </c>
      <c r="C120" s="2"/>
      <c r="D120" s="452"/>
      <c r="E120" s="341"/>
      <c r="F120" s="430"/>
      <c r="G120" s="340"/>
      <c r="H120" s="453"/>
      <c r="I120" s="454"/>
      <c r="J120" s="453"/>
      <c r="K120" s="454"/>
      <c r="L120" s="453"/>
      <c r="M120" s="430"/>
      <c r="N120" s="449"/>
      <c r="O120" s="44"/>
      <c r="P120" s="123">
        <f>Formulas!M114/12</f>
        <v>0</v>
      </c>
      <c r="Q120" s="39"/>
      <c r="R120" s="491" t="str">
        <f t="shared" si="1"/>
        <v/>
      </c>
      <c r="S120" s="39"/>
      <c r="T120" s="39"/>
      <c r="U120" s="39"/>
      <c r="V120" s="39"/>
    </row>
    <row r="121" spans="2:22" hidden="1">
      <c r="B121" s="343">
        <v>15</v>
      </c>
      <c r="C121" s="2"/>
      <c r="D121" s="452"/>
      <c r="E121" s="341"/>
      <c r="F121" s="430"/>
      <c r="G121" s="340"/>
      <c r="H121" s="453"/>
      <c r="I121" s="454"/>
      <c r="J121" s="453"/>
      <c r="K121" s="454"/>
      <c r="L121" s="453"/>
      <c r="M121" s="430"/>
      <c r="N121" s="449"/>
      <c r="O121" s="44"/>
      <c r="P121" s="123">
        <f>Formulas!M115/12</f>
        <v>0</v>
      </c>
      <c r="Q121" s="39"/>
      <c r="R121" s="491" t="str">
        <f t="shared" si="1"/>
        <v/>
      </c>
      <c r="S121" s="39"/>
      <c r="T121" s="39"/>
      <c r="U121" s="39"/>
      <c r="V121" s="39"/>
    </row>
    <row r="122" spans="2:22" hidden="1">
      <c r="B122" s="343">
        <v>16</v>
      </c>
      <c r="C122" s="2"/>
      <c r="D122" s="452"/>
      <c r="E122" s="341"/>
      <c r="F122" s="430"/>
      <c r="G122" s="340"/>
      <c r="H122" s="453"/>
      <c r="I122" s="454"/>
      <c r="J122" s="453"/>
      <c r="K122" s="454"/>
      <c r="L122" s="453"/>
      <c r="M122" s="430"/>
      <c r="N122" s="449"/>
      <c r="O122" s="44"/>
      <c r="P122" s="123">
        <f>Formulas!M116/12</f>
        <v>0</v>
      </c>
      <c r="Q122" s="39"/>
      <c r="R122" s="491" t="str">
        <f t="shared" si="1"/>
        <v/>
      </c>
      <c r="S122" s="39"/>
      <c r="T122" s="39"/>
      <c r="U122" s="39"/>
      <c r="V122" s="39"/>
    </row>
    <row r="123" spans="2:22" hidden="1">
      <c r="B123" s="343">
        <v>17</v>
      </c>
      <c r="C123" s="2"/>
      <c r="D123" s="452"/>
      <c r="E123" s="341"/>
      <c r="F123" s="430"/>
      <c r="G123" s="340"/>
      <c r="H123" s="453"/>
      <c r="I123" s="454"/>
      <c r="J123" s="453"/>
      <c r="K123" s="454"/>
      <c r="L123" s="453"/>
      <c r="M123" s="430"/>
      <c r="N123" s="449"/>
      <c r="O123" s="44"/>
      <c r="P123" s="123">
        <f>Formulas!M117/12</f>
        <v>0</v>
      </c>
      <c r="Q123" s="39"/>
      <c r="R123" s="491" t="str">
        <f t="shared" si="1"/>
        <v/>
      </c>
      <c r="S123" s="39"/>
      <c r="T123" s="39"/>
      <c r="U123" s="39"/>
      <c r="V123" s="39"/>
    </row>
    <row r="124" spans="2:22" hidden="1">
      <c r="B124" s="343">
        <v>18</v>
      </c>
      <c r="C124" s="2"/>
      <c r="D124" s="452"/>
      <c r="E124" s="341"/>
      <c r="F124" s="430"/>
      <c r="G124" s="340"/>
      <c r="H124" s="453"/>
      <c r="I124" s="454"/>
      <c r="J124" s="453"/>
      <c r="K124" s="454"/>
      <c r="L124" s="453"/>
      <c r="M124" s="430"/>
      <c r="N124" s="449"/>
      <c r="O124" s="44"/>
      <c r="P124" s="123">
        <f>Formulas!M118/12</f>
        <v>0</v>
      </c>
      <c r="Q124" s="39"/>
      <c r="R124" s="491" t="str">
        <f t="shared" si="1"/>
        <v/>
      </c>
      <c r="S124" s="39"/>
      <c r="T124" s="39"/>
      <c r="U124" s="39"/>
      <c r="V124" s="39"/>
    </row>
    <row r="125" spans="2:22" hidden="1">
      <c r="B125" s="343">
        <v>19</v>
      </c>
      <c r="C125" s="2"/>
      <c r="D125" s="452"/>
      <c r="E125" s="341"/>
      <c r="F125" s="430"/>
      <c r="G125" s="340"/>
      <c r="H125" s="453"/>
      <c r="I125" s="454"/>
      <c r="J125" s="453"/>
      <c r="K125" s="454"/>
      <c r="L125" s="453"/>
      <c r="M125" s="430"/>
      <c r="N125" s="449"/>
      <c r="O125" s="44"/>
      <c r="P125" s="123">
        <f>Formulas!M119/12</f>
        <v>0</v>
      </c>
      <c r="Q125" s="39"/>
      <c r="R125" s="491" t="str">
        <f t="shared" si="1"/>
        <v/>
      </c>
      <c r="S125" s="39"/>
      <c r="T125" s="39"/>
      <c r="U125" s="39"/>
      <c r="V125" s="39"/>
    </row>
    <row r="126" spans="2:22" hidden="1">
      <c r="B126" s="343">
        <v>20</v>
      </c>
      <c r="C126" s="2"/>
      <c r="D126" s="452"/>
      <c r="E126" s="341"/>
      <c r="F126" s="430"/>
      <c r="G126" s="340"/>
      <c r="H126" s="453"/>
      <c r="I126" s="454"/>
      <c r="J126" s="453"/>
      <c r="K126" s="454"/>
      <c r="L126" s="453"/>
      <c r="M126" s="430"/>
      <c r="N126" s="449"/>
      <c r="O126" s="44"/>
      <c r="P126" s="123">
        <f>Formulas!M120/12</f>
        <v>0</v>
      </c>
      <c r="Q126" s="39"/>
      <c r="R126" s="491" t="str">
        <f t="shared" si="1"/>
        <v/>
      </c>
      <c r="S126" s="39"/>
      <c r="T126" s="39"/>
      <c r="U126" s="39"/>
      <c r="V126" s="39"/>
    </row>
    <row r="127" spans="2:22" hidden="1">
      <c r="B127" s="343">
        <v>21</v>
      </c>
      <c r="C127" s="2"/>
      <c r="D127" s="452"/>
      <c r="E127" s="342"/>
      <c r="F127" s="490"/>
      <c r="G127" s="338"/>
      <c r="H127" s="439"/>
      <c r="I127" s="455"/>
      <c r="J127" s="439"/>
      <c r="K127" s="455"/>
      <c r="L127" s="439"/>
      <c r="M127" s="456"/>
      <c r="N127" s="457"/>
      <c r="O127" s="31"/>
      <c r="P127" s="123">
        <f>Formulas!M121/12</f>
        <v>0</v>
      </c>
      <c r="Q127" s="31"/>
      <c r="R127" s="491" t="str">
        <f t="shared" si="1"/>
        <v/>
      </c>
      <c r="S127" s="31"/>
      <c r="T127" s="30"/>
      <c r="U127" s="31"/>
      <c r="V127" s="30"/>
    </row>
    <row r="128" spans="2:22" hidden="1">
      <c r="B128" s="343">
        <v>22</v>
      </c>
      <c r="C128" s="2"/>
      <c r="D128" s="452"/>
      <c r="E128" s="342"/>
      <c r="F128" s="490"/>
      <c r="G128" s="338"/>
      <c r="H128" s="439"/>
      <c r="I128" s="455"/>
      <c r="J128" s="439"/>
      <c r="K128" s="455"/>
      <c r="L128" s="439"/>
      <c r="M128" s="456"/>
      <c r="N128" s="457"/>
      <c r="O128" s="31"/>
      <c r="P128" s="123">
        <f>Formulas!M122/12</f>
        <v>0</v>
      </c>
      <c r="Q128" s="31"/>
      <c r="R128" s="491" t="str">
        <f t="shared" si="1"/>
        <v/>
      </c>
      <c r="S128" s="31"/>
      <c r="T128" s="30"/>
      <c r="U128" s="31"/>
      <c r="V128" s="30"/>
    </row>
    <row r="129" spans="1:24" hidden="1">
      <c r="B129" s="343">
        <v>23</v>
      </c>
      <c r="C129" s="2"/>
      <c r="D129" s="452"/>
      <c r="E129" s="342"/>
      <c r="F129" s="490"/>
      <c r="G129" s="338"/>
      <c r="H129" s="439"/>
      <c r="I129" s="455"/>
      <c r="J129" s="439"/>
      <c r="K129" s="455"/>
      <c r="L129" s="439"/>
      <c r="M129" s="456"/>
      <c r="N129" s="457"/>
      <c r="O129" s="31"/>
      <c r="P129" s="123">
        <f>Formulas!M123/12</f>
        <v>0</v>
      </c>
      <c r="Q129" s="31"/>
      <c r="R129" s="491" t="str">
        <f t="shared" si="1"/>
        <v/>
      </c>
      <c r="S129" s="31"/>
      <c r="T129" s="30"/>
      <c r="U129" s="31"/>
      <c r="V129" s="30"/>
    </row>
    <row r="130" spans="1:24" hidden="1">
      <c r="B130" s="343">
        <v>24</v>
      </c>
      <c r="C130" s="2"/>
      <c r="D130" s="452"/>
      <c r="E130" s="342"/>
      <c r="F130" s="490"/>
      <c r="G130" s="338"/>
      <c r="H130" s="439"/>
      <c r="I130" s="455"/>
      <c r="J130" s="439"/>
      <c r="K130" s="455"/>
      <c r="L130" s="439"/>
      <c r="M130" s="456"/>
      <c r="N130" s="457"/>
      <c r="O130" s="31"/>
      <c r="P130" s="123">
        <f>Formulas!M124/12</f>
        <v>0</v>
      </c>
      <c r="Q130" s="31"/>
      <c r="R130" s="491" t="str">
        <f t="shared" si="1"/>
        <v/>
      </c>
      <c r="S130" s="31"/>
      <c r="T130" s="30"/>
      <c r="U130" s="31"/>
      <c r="V130" s="30"/>
    </row>
    <row r="131" spans="1:24" hidden="1">
      <c r="B131" s="343">
        <v>25</v>
      </c>
      <c r="C131" s="2"/>
      <c r="D131" s="452"/>
      <c r="E131" s="342"/>
      <c r="F131" s="490"/>
      <c r="G131" s="338"/>
      <c r="H131" s="439"/>
      <c r="I131" s="455"/>
      <c r="J131" s="439"/>
      <c r="K131" s="455"/>
      <c r="L131" s="439"/>
      <c r="M131" s="456"/>
      <c r="N131" s="457"/>
      <c r="O131" s="31"/>
      <c r="P131" s="123">
        <f>Formulas!M125/12</f>
        <v>0</v>
      </c>
      <c r="Q131" s="31"/>
      <c r="R131" s="491" t="str">
        <f t="shared" si="1"/>
        <v/>
      </c>
      <c r="S131" s="31"/>
      <c r="T131" s="30"/>
      <c r="U131" s="31"/>
      <c r="V131" s="30"/>
    </row>
    <row r="132" spans="1:24" hidden="1">
      <c r="A132" s="28"/>
      <c r="B132" s="28"/>
      <c r="C132" s="29"/>
      <c r="D132" s="30"/>
      <c r="E132" s="31"/>
      <c r="F132" s="30"/>
      <c r="G132" s="31"/>
      <c r="H132" s="30"/>
      <c r="I132" s="31"/>
      <c r="J132" s="30"/>
      <c r="K132" s="31"/>
      <c r="L132" s="30"/>
      <c r="M132" s="31"/>
      <c r="N132" s="30"/>
      <c r="O132" s="31"/>
      <c r="P132" s="30"/>
      <c r="Q132" s="31"/>
      <c r="R132" s="30"/>
      <c r="S132" s="31"/>
      <c r="T132" s="30"/>
      <c r="U132" s="31"/>
      <c r="V132" s="30"/>
      <c r="W132" s="28"/>
      <c r="X132" s="28"/>
    </row>
    <row r="133" spans="1:24">
      <c r="A133" s="28"/>
      <c r="B133" s="28"/>
      <c r="C133" s="28"/>
      <c r="D133" s="28"/>
      <c r="F133" s="28"/>
      <c r="H133" s="28"/>
      <c r="J133" s="28"/>
      <c r="L133" s="28"/>
      <c r="N133" s="28"/>
      <c r="P133" s="28"/>
      <c r="R133" s="28"/>
      <c r="T133" s="28"/>
      <c r="U133" s="28"/>
      <c r="V133" s="28"/>
      <c r="W133" s="28"/>
      <c r="X133" s="28"/>
    </row>
    <row r="134" spans="1:24">
      <c r="A134" s="28"/>
      <c r="B134" s="32"/>
      <c r="C134" s="28"/>
      <c r="D134" s="103" t="s">
        <v>31</v>
      </c>
      <c r="E134" s="33"/>
      <c r="F134" s="34">
        <f>SUM(Formulas!M101:M125)</f>
        <v>0</v>
      </c>
      <c r="H134" s="28"/>
      <c r="J134" s="28"/>
      <c r="L134" s="28"/>
      <c r="N134" s="28"/>
      <c r="P134" s="28"/>
      <c r="R134" s="28"/>
      <c r="T134" s="28"/>
      <c r="U134" s="28"/>
      <c r="V134" s="28"/>
      <c r="W134" s="28"/>
      <c r="X134" s="28"/>
    </row>
    <row r="135" spans="1:24">
      <c r="A135" s="28"/>
      <c r="B135" s="28"/>
      <c r="C135" s="28"/>
      <c r="D135" s="28"/>
      <c r="F135" s="28"/>
      <c r="H135" s="28"/>
      <c r="J135" s="28"/>
      <c r="L135" s="28"/>
      <c r="N135" s="28"/>
      <c r="P135" s="28"/>
      <c r="R135" s="28"/>
      <c r="T135" s="28"/>
      <c r="U135" s="28"/>
      <c r="V135" s="28"/>
      <c r="W135" s="28"/>
      <c r="X135" s="28"/>
    </row>
    <row r="136" spans="1:24" hidden="1">
      <c r="A136" s="28"/>
      <c r="B136" s="28"/>
      <c r="C136" s="28"/>
      <c r="D136" s="28"/>
      <c r="F136" s="28"/>
      <c r="H136" s="28"/>
      <c r="J136" s="28"/>
      <c r="L136" s="28"/>
      <c r="N136" s="28"/>
      <c r="P136" s="28"/>
      <c r="R136" s="28"/>
      <c r="T136" s="28"/>
      <c r="U136" s="28"/>
      <c r="V136" s="28"/>
      <c r="W136" s="28"/>
      <c r="X136" s="28"/>
    </row>
    <row r="137" spans="1:24">
      <c r="A137" s="28"/>
      <c r="B137" s="132"/>
      <c r="C137" s="28"/>
      <c r="D137" s="28"/>
      <c r="F137" s="28"/>
      <c r="H137" s="28"/>
      <c r="J137" s="28"/>
      <c r="L137" s="28"/>
      <c r="N137" s="28"/>
      <c r="P137" s="28"/>
      <c r="R137" s="28"/>
      <c r="T137" s="28"/>
      <c r="U137" s="28"/>
      <c r="V137" s="28"/>
      <c r="W137" s="28"/>
      <c r="X137" s="28"/>
    </row>
    <row r="138" spans="1:24" ht="19">
      <c r="A138" s="28"/>
      <c r="B138" s="422" t="s">
        <v>760</v>
      </c>
      <c r="C138" s="28"/>
      <c r="D138" s="28"/>
      <c r="F138" s="28"/>
      <c r="H138" s="28"/>
      <c r="J138" s="28"/>
      <c r="L138" s="28"/>
      <c r="N138" s="28"/>
      <c r="P138" s="28"/>
      <c r="R138" s="28"/>
      <c r="T138" s="28"/>
      <c r="U138" s="28"/>
      <c r="V138" s="28"/>
      <c r="W138" s="28"/>
      <c r="X138" s="28"/>
    </row>
    <row r="139" spans="1:24">
      <c r="A139" s="28"/>
      <c r="B139" s="28"/>
      <c r="C139" s="28"/>
      <c r="D139" s="28"/>
      <c r="J139" s="28"/>
      <c r="L139" s="28"/>
      <c r="N139" s="105" t="s">
        <v>214</v>
      </c>
      <c r="P139" s="104" t="s">
        <v>136</v>
      </c>
      <c r="Q139" s="107"/>
      <c r="R139" s="97" t="s">
        <v>6</v>
      </c>
      <c r="T139" s="28"/>
      <c r="U139" s="28"/>
      <c r="V139" s="28"/>
      <c r="W139" s="28"/>
      <c r="X139" s="28"/>
    </row>
    <row r="140" spans="1:24">
      <c r="A140" s="28"/>
      <c r="B140" s="28"/>
      <c r="C140" s="28"/>
      <c r="D140" s="28"/>
      <c r="F140" s="105" t="s">
        <v>10</v>
      </c>
      <c r="H140" s="35">
        <f>SUM(Formulas!E49:X49)</f>
        <v>0</v>
      </c>
      <c r="J140" s="28"/>
      <c r="L140" s="28"/>
      <c r="N140" s="106" t="s">
        <v>215</v>
      </c>
      <c r="P140" s="76">
        <f>IFERROR(H148-MAX(T21,R20)*12,0)</f>
        <v>0</v>
      </c>
      <c r="Q140" s="77"/>
      <c r="R140" s="78">
        <f>P140/12</f>
        <v>0</v>
      </c>
      <c r="T140" s="28"/>
      <c r="U140" s="28"/>
      <c r="V140" s="28"/>
      <c r="W140" s="28"/>
      <c r="X140" s="28"/>
    </row>
    <row r="141" spans="1:24">
      <c r="A141" s="28"/>
      <c r="B141" s="28"/>
      <c r="C141" s="28"/>
      <c r="D141" s="28"/>
      <c r="F141" s="105" t="s">
        <v>32</v>
      </c>
      <c r="H141" s="35">
        <f>D77</f>
        <v>0</v>
      </c>
      <c r="J141" s="28"/>
      <c r="L141" s="49"/>
      <c r="M141" s="49"/>
      <c r="N141" s="371" t="s">
        <v>216</v>
      </c>
      <c r="O141" s="49"/>
      <c r="P141" s="372">
        <f>IFERROR(H148-MAX(R21,P20)*12,0)</f>
        <v>0</v>
      </c>
      <c r="Q141" s="133"/>
      <c r="R141" s="373">
        <f>P141/12</f>
        <v>0</v>
      </c>
      <c r="T141" s="28"/>
      <c r="U141" s="28"/>
      <c r="V141" s="28"/>
      <c r="W141" s="28"/>
      <c r="X141" s="28"/>
    </row>
    <row r="142" spans="1:24">
      <c r="A142" s="28"/>
      <c r="B142" s="28"/>
      <c r="C142" s="28"/>
      <c r="D142" s="28"/>
      <c r="F142" s="369" t="s">
        <v>743</v>
      </c>
      <c r="G142" s="49"/>
      <c r="H142" s="370">
        <f>SUM(Formulas!E50:X50)</f>
        <v>0</v>
      </c>
      <c r="J142" s="28"/>
      <c r="L142" s="28"/>
      <c r="N142" s="91" t="str">
        <f>IF(R142&gt;=1,"***WARNING: LVR &gt; 100%***","")</f>
        <v/>
      </c>
      <c r="P142" s="105" t="s">
        <v>184</v>
      </c>
      <c r="R142" s="109">
        <f>IFERROR(D20/D11,0)</f>
        <v>0</v>
      </c>
      <c r="T142" s="28"/>
      <c r="U142" s="28"/>
      <c r="V142" s="28"/>
      <c r="W142" s="28"/>
      <c r="X142" s="28"/>
    </row>
    <row r="143" spans="1:24">
      <c r="A143" s="28"/>
      <c r="B143" s="28"/>
      <c r="C143" s="28"/>
      <c r="D143" s="28"/>
      <c r="F143" s="105" t="s">
        <v>182</v>
      </c>
      <c r="H143" s="35">
        <f>SUM(Formulas!H87:L87)</f>
        <v>0</v>
      </c>
      <c r="J143" s="28"/>
      <c r="L143" s="28"/>
      <c r="N143" s="82"/>
      <c r="P143" s="105" t="s">
        <v>212</v>
      </c>
      <c r="R143" s="109">
        <f>IFERROR(T21*12/H140,0)</f>
        <v>0</v>
      </c>
      <c r="T143" s="28"/>
      <c r="U143" s="28"/>
      <c r="V143" s="28"/>
      <c r="W143" s="28"/>
      <c r="X143" s="28"/>
    </row>
    <row r="144" spans="1:24">
      <c r="A144" s="28"/>
      <c r="B144" s="28"/>
      <c r="C144" s="28"/>
      <c r="D144" s="28"/>
      <c r="F144" s="105" t="s">
        <v>183</v>
      </c>
      <c r="H144" s="35">
        <f>SUM(Formulas!H88:L88)</f>
        <v>0</v>
      </c>
      <c r="J144" s="28"/>
      <c r="L144" s="28"/>
      <c r="N144" s="91" t="str">
        <f>IF(R144="-","",IF(R144&gt;=6,"***WARNING: DTI &gt; 6x***",""))</f>
        <v/>
      </c>
      <c r="P144" s="105" t="s">
        <v>211</v>
      </c>
      <c r="R144" s="110" t="str">
        <f>IFERROR((Formulas!N126+Input!D20)/H140,"-")</f>
        <v>-</v>
      </c>
      <c r="T144" s="36"/>
      <c r="U144" s="28"/>
      <c r="V144" s="28"/>
      <c r="W144" s="28"/>
      <c r="X144" s="28"/>
    </row>
    <row r="145" spans="1:24">
      <c r="A145" s="28"/>
      <c r="B145" s="28"/>
      <c r="C145" s="28"/>
      <c r="D145" s="28"/>
      <c r="F145" s="89"/>
      <c r="H145" s="35"/>
      <c r="J145" s="28"/>
      <c r="L145" s="28"/>
      <c r="N145" s="91" t="str">
        <f>IF(R145="-","",IF(R145&gt;=5,"***WARNING: LTI &gt; 5x***",""))</f>
        <v/>
      </c>
      <c r="P145" s="105" t="s">
        <v>34</v>
      </c>
      <c r="R145" s="110" t="str">
        <f>IFERROR(D20/H140,"-")</f>
        <v>-</v>
      </c>
      <c r="T145" s="36"/>
      <c r="U145" s="28"/>
      <c r="V145" s="28"/>
      <c r="W145" s="36"/>
      <c r="X145" s="28"/>
    </row>
    <row r="146" spans="1:24">
      <c r="A146" s="28"/>
      <c r="B146" s="28"/>
      <c r="C146" s="28"/>
      <c r="D146" s="28"/>
      <c r="F146" s="105" t="s">
        <v>210</v>
      </c>
      <c r="H146" s="35">
        <f>F134</f>
        <v>0</v>
      </c>
      <c r="J146" s="28"/>
      <c r="L146" s="28"/>
      <c r="N146" s="91" t="str">
        <f>IF(P140=0,"",IF(P140&lt;200,"***WARNING: Annual NDI &lt;200***",IF(R140&lt;200,"***WARNING: Monthly NDI &lt;200***","")))</f>
        <v/>
      </c>
      <c r="P146" s="105" t="s">
        <v>185</v>
      </c>
      <c r="R146" s="108" t="str">
        <f>IFERROR(CONCATENATE(TEXT(IFERROR((D77-F101)/(F134+MAX(T21,R20)*12),""),IF((D77-F101)/(F134+MAX(T21,R20)*12)&gt;=10,"# 00.00","# 0.00"))," : 1"),"-")</f>
        <v>-</v>
      </c>
      <c r="T146" s="28"/>
      <c r="U146" s="28"/>
      <c r="V146" s="28"/>
      <c r="W146" s="28"/>
      <c r="X146" s="28"/>
    </row>
    <row r="147" spans="1:24">
      <c r="A147" s="28"/>
      <c r="B147" s="28"/>
      <c r="C147" s="28"/>
      <c r="D147" s="28"/>
      <c r="F147" s="89"/>
      <c r="H147" s="35"/>
      <c r="J147" s="28"/>
      <c r="L147" s="28"/>
      <c r="N147" s="28"/>
      <c r="P147" s="28"/>
      <c r="R147" s="28"/>
      <c r="T147" s="28"/>
      <c r="U147" s="28"/>
      <c r="V147" s="28"/>
      <c r="W147" s="28"/>
      <c r="X147" s="28"/>
    </row>
    <row r="148" spans="1:24" ht="15" customHeight="1">
      <c r="A148" s="28"/>
      <c r="B148" s="28"/>
      <c r="C148" s="28"/>
      <c r="D148" s="28"/>
      <c r="F148" s="105" t="s">
        <v>244</v>
      </c>
      <c r="H148" s="35">
        <f>H141-MAX(H143:H144)-H146</f>
        <v>0</v>
      </c>
      <c r="J148" s="28"/>
      <c r="L148" s="28"/>
      <c r="N148" s="28"/>
      <c r="P148" s="499" t="str">
        <f ca="1">IF(OR(AND(IFERROR((D77-F101)/(F134+MAX(T21,R20)*12),"")&gt;=1,R142&lt;=0.8),AND(IFERROR((D77-F101)/(F134+MAX(T21,R20)*12),"")&gt;=1.05,R142&lt;0.9),AND(IFERROR((D77-F101)/(F134+MAX(T21,R20)*12),"")&gt;=1.1,R142&lt;1)),"PASS","FAIL")</f>
        <v>PASS</v>
      </c>
      <c r="Q148" s="499"/>
      <c r="R148" s="499"/>
      <c r="T148" s="28"/>
      <c r="U148" s="28"/>
      <c r="V148" s="28"/>
      <c r="W148" s="28"/>
      <c r="X148" s="28"/>
    </row>
    <row r="149" spans="1:24" ht="15" customHeight="1">
      <c r="A149" s="28"/>
      <c r="B149" s="28"/>
      <c r="C149" s="28"/>
      <c r="D149" s="28"/>
      <c r="F149" s="48"/>
      <c r="H149" s="28"/>
      <c r="J149" s="28"/>
      <c r="L149" s="28"/>
      <c r="N149" s="28"/>
      <c r="P149" s="499"/>
      <c r="Q149" s="499"/>
      <c r="R149" s="499"/>
      <c r="T149" s="28"/>
      <c r="U149" s="28"/>
      <c r="V149" s="28"/>
      <c r="W149" s="28"/>
      <c r="X149" s="28"/>
    </row>
    <row r="150" spans="1:24">
      <c r="A150" s="28"/>
      <c r="B150" s="28"/>
      <c r="C150" s="28"/>
      <c r="D150" s="28"/>
      <c r="F150" s="105" t="s">
        <v>267</v>
      </c>
      <c r="H150" s="90">
        <f>PV(P12/12,F20*12,-H148/12,0,0)</f>
        <v>0</v>
      </c>
      <c r="J150" s="28"/>
      <c r="L150" s="28"/>
      <c r="N150" s="493" t="str">
        <f>IF(P140=0,"",IF((D77-F101)/(F134+MAX(T21,R20)*12)&lt;=1.1,"***WARNING: NSR must be &gt;1.1 for Medico Loans***",""))</f>
        <v/>
      </c>
      <c r="P150" s="28"/>
      <c r="R150" s="28"/>
      <c r="T150" s="28"/>
      <c r="U150" s="28"/>
      <c r="V150" s="28"/>
      <c r="W150" s="28"/>
      <c r="X150" s="28"/>
    </row>
    <row r="151" spans="1:24">
      <c r="A151" s="28"/>
      <c r="B151" s="28"/>
      <c r="C151" s="28"/>
      <c r="D151" s="37"/>
      <c r="F151" s="38" t="str">
        <f>IF(F20="","",CONCATENATE("*Based on the specified loan term above of ",F20," years and at the assessment rate of ",P12*100,"%"))</f>
        <v>*Based on the specified loan term above of 0 years and at the assessment rate of 5.25%</v>
      </c>
      <c r="H151" s="28"/>
      <c r="J151" s="28"/>
      <c r="L151" s="28"/>
      <c r="N151" s="28"/>
      <c r="P151" s="28"/>
      <c r="R151" s="28"/>
      <c r="T151" s="28"/>
      <c r="U151" s="28"/>
      <c r="V151" s="28"/>
      <c r="W151" s="28"/>
      <c r="X151" s="28"/>
    </row>
    <row r="152" spans="1:24">
      <c r="A152" s="28"/>
      <c r="B152" s="28"/>
      <c r="C152" s="28"/>
      <c r="D152" s="28"/>
      <c r="F152" s="28"/>
      <c r="H152" s="28"/>
      <c r="J152" s="28"/>
      <c r="L152" s="28"/>
      <c r="N152" s="28"/>
      <c r="P152" s="28"/>
      <c r="R152" s="28"/>
      <c r="T152" s="28"/>
      <c r="U152" s="28"/>
      <c r="V152" s="28"/>
      <c r="W152" s="28"/>
      <c r="X152" s="28"/>
    </row>
    <row r="153" spans="1:24">
      <c r="A153" s="28"/>
      <c r="B153" s="132"/>
      <c r="C153" s="28"/>
      <c r="D153" s="28"/>
      <c r="F153" s="28"/>
      <c r="H153" s="28"/>
      <c r="J153" s="28"/>
      <c r="L153" s="28"/>
      <c r="N153" s="28"/>
      <c r="P153" s="28"/>
      <c r="R153" s="28"/>
      <c r="T153" s="28"/>
      <c r="U153" s="28"/>
      <c r="V153" s="28"/>
      <c r="W153" s="28"/>
      <c r="X153" s="28"/>
    </row>
    <row r="154" spans="1:24">
      <c r="B154" s="424" t="s">
        <v>33</v>
      </c>
      <c r="D154" s="498"/>
      <c r="E154" s="498"/>
      <c r="F154" s="498"/>
      <c r="G154" s="498"/>
      <c r="H154" s="498"/>
      <c r="I154" s="498"/>
      <c r="J154" s="498"/>
      <c r="K154" s="498"/>
      <c r="L154" s="498"/>
      <c r="M154" s="498"/>
      <c r="N154" s="498"/>
      <c r="O154" s="498"/>
      <c r="P154" s="498"/>
      <c r="Q154" s="498"/>
      <c r="R154" s="498"/>
      <c r="S154" s="498"/>
      <c r="T154" s="498"/>
    </row>
    <row r="155" spans="1:24">
      <c r="D155" s="498"/>
      <c r="E155" s="498"/>
      <c r="F155" s="498"/>
      <c r="G155" s="498"/>
      <c r="H155" s="498"/>
      <c r="I155" s="498"/>
      <c r="J155" s="498"/>
      <c r="K155" s="498"/>
      <c r="L155" s="498"/>
      <c r="M155" s="498"/>
      <c r="N155" s="498"/>
      <c r="O155" s="498"/>
      <c r="P155" s="498"/>
      <c r="Q155" s="498"/>
      <c r="R155" s="498"/>
      <c r="S155" s="498"/>
      <c r="T155" s="498"/>
    </row>
    <row r="156" spans="1:24">
      <c r="D156" s="498"/>
      <c r="E156" s="498"/>
      <c r="F156" s="498"/>
      <c r="G156" s="498"/>
      <c r="H156" s="498"/>
      <c r="I156" s="498"/>
      <c r="J156" s="498"/>
      <c r="K156" s="498"/>
      <c r="L156" s="498"/>
      <c r="M156" s="498"/>
      <c r="N156" s="498"/>
      <c r="O156" s="498"/>
      <c r="P156" s="498"/>
      <c r="Q156" s="498"/>
      <c r="R156" s="498"/>
      <c r="S156" s="498"/>
      <c r="T156" s="498"/>
    </row>
    <row r="157" spans="1:24">
      <c r="D157" s="498"/>
      <c r="E157" s="498"/>
      <c r="F157" s="498"/>
      <c r="G157" s="498"/>
      <c r="H157" s="498"/>
      <c r="I157" s="498"/>
      <c r="J157" s="498"/>
      <c r="K157" s="498"/>
      <c r="L157" s="498"/>
      <c r="M157" s="498"/>
      <c r="N157" s="498"/>
      <c r="O157" s="498"/>
      <c r="P157" s="498"/>
      <c r="Q157" s="498"/>
      <c r="R157" s="498"/>
      <c r="S157" s="498"/>
      <c r="T157" s="498"/>
      <c r="V157" s="2"/>
    </row>
    <row r="158" spans="1:24">
      <c r="D158" s="498"/>
      <c r="E158" s="498"/>
      <c r="F158" s="498"/>
      <c r="G158" s="498"/>
      <c r="H158" s="498"/>
      <c r="I158" s="498"/>
      <c r="J158" s="498"/>
      <c r="K158" s="498"/>
      <c r="L158" s="498"/>
      <c r="M158" s="498"/>
      <c r="N158" s="498"/>
      <c r="O158" s="498"/>
      <c r="P158" s="498"/>
      <c r="Q158" s="498"/>
      <c r="R158" s="498"/>
      <c r="S158" s="498"/>
      <c r="T158" s="498"/>
    </row>
    <row r="159" spans="1:24">
      <c r="L159" s="2"/>
    </row>
  </sheetData>
  <sheetProtection algorithmName="SHA-512" hashValue="zgCCLfGbrzjKlKXkoXtkm8rFUtEcq6BTnWGock1MzKwKLe4/SV+D9ZngDE130uKR6S8XwdfwQir5VsvkFUQZRQ==" saltValue="Fws0tkSt61kHIyAjiwg1zg==" spinCount="100000" sheet="1" objects="1" scenarios="1" selectLockedCells="1"/>
  <dataConsolidate/>
  <mergeCells count="11">
    <mergeCell ref="L7:N7"/>
    <mergeCell ref="D154:T158"/>
    <mergeCell ref="P148:R149"/>
    <mergeCell ref="B10:T10"/>
    <mergeCell ref="B24:T24"/>
    <mergeCell ref="B105:T105"/>
    <mergeCell ref="D27:L27"/>
    <mergeCell ref="D35:L35"/>
    <mergeCell ref="D45:L45"/>
    <mergeCell ref="D54:L54"/>
    <mergeCell ref="D62:L62"/>
  </mergeCells>
  <conditionalFormatting sqref="D22">
    <cfRule type="expression" dxfId="43" priority="109">
      <formula>#REF!=""</formula>
    </cfRule>
  </conditionalFormatting>
  <conditionalFormatting sqref="H86:N86">
    <cfRule type="expression" dxfId="42" priority="104">
      <formula>H86&gt;MAX($D$26:$AG$26)</formula>
    </cfRule>
  </conditionalFormatting>
  <conditionalFormatting sqref="H85:N98 I82:N83 K81 M81 H80:N80">
    <cfRule type="expression" dxfId="41" priority="96">
      <formula>H$80=0</formula>
    </cfRule>
  </conditionalFormatting>
  <conditionalFormatting sqref="H99">
    <cfRule type="expression" dxfId="40" priority="89">
      <formula>H$80=0</formula>
    </cfRule>
  </conditionalFormatting>
  <conditionalFormatting sqref="J99">
    <cfRule type="expression" dxfId="39" priority="81">
      <formula>J$80=0</formula>
    </cfRule>
  </conditionalFormatting>
  <conditionalFormatting sqref="L99">
    <cfRule type="expression" dxfId="38" priority="79">
      <formula>L$80=0</formula>
    </cfRule>
  </conditionalFormatting>
  <conditionalFormatting sqref="N99">
    <cfRule type="expression" dxfId="37" priority="78">
      <formula>N99&gt;MAX(#REF!)</formula>
    </cfRule>
  </conditionalFormatting>
  <conditionalFormatting sqref="N99">
    <cfRule type="expression" dxfId="36" priority="77">
      <formula>N$80=0</formula>
    </cfRule>
  </conditionalFormatting>
  <conditionalFormatting sqref="P148">
    <cfRule type="expression" dxfId="35" priority="75">
      <formula>$P$148="FAIL"</formula>
    </cfRule>
    <cfRule type="expression" dxfId="34" priority="76">
      <formula>$P$148="PASS"</formula>
    </cfRule>
  </conditionalFormatting>
  <conditionalFormatting sqref="I81">
    <cfRule type="expression" dxfId="33" priority="73">
      <formula>I$80=0</formula>
    </cfRule>
  </conditionalFormatting>
  <conditionalFormatting sqref="H81:H83">
    <cfRule type="expression" dxfId="32" priority="56" stopIfTrue="1">
      <formula>H$80=0</formula>
    </cfRule>
  </conditionalFormatting>
  <conditionalFormatting sqref="D14">
    <cfRule type="expression" dxfId="31" priority="125">
      <formula>#REF!&lt;&gt;"Yes"</formula>
    </cfRule>
  </conditionalFormatting>
  <conditionalFormatting sqref="Q16">
    <cfRule type="expression" dxfId="30" priority="45">
      <formula>$D$15&lt;=0</formula>
    </cfRule>
  </conditionalFormatting>
  <conditionalFormatting sqref="B17:G17 Q17 K17:O17 I17">
    <cfRule type="expression" dxfId="29" priority="44">
      <formula>$D$16&lt;=0</formula>
    </cfRule>
  </conditionalFormatting>
  <conditionalFormatting sqref="B18:O18 Q18">
    <cfRule type="expression" dxfId="28" priority="43">
      <formula>$D$17&lt;=0</formula>
    </cfRule>
  </conditionalFormatting>
  <conditionalFormatting sqref="B19:O19 Q19">
    <cfRule type="expression" dxfId="27" priority="42">
      <formula>$D$18&lt;=0</formula>
    </cfRule>
  </conditionalFormatting>
  <conditionalFormatting sqref="J81">
    <cfRule type="expression" dxfId="26" priority="35" stopIfTrue="1">
      <formula>J$80=0</formula>
    </cfRule>
  </conditionalFormatting>
  <conditionalFormatting sqref="L81">
    <cfRule type="expression" dxfId="25" priority="34" stopIfTrue="1">
      <formula>L$80=0</formula>
    </cfRule>
  </conditionalFormatting>
  <conditionalFormatting sqref="N81">
    <cfRule type="expression" dxfId="24" priority="33" stopIfTrue="1">
      <formula>N$80=0</formula>
    </cfRule>
  </conditionalFormatting>
  <conditionalFormatting sqref="W54:W60">
    <cfRule type="expression" dxfId="23" priority="28">
      <formula>$F$23&gt;=$N$23</formula>
    </cfRule>
  </conditionalFormatting>
  <conditionalFormatting sqref="W28:W33 W35:W43 W45:W52 W62:W69">
    <cfRule type="expression" dxfId="22" priority="27">
      <formula>U$26=""</formula>
    </cfRule>
  </conditionalFormatting>
  <conditionalFormatting sqref="W26">
    <cfRule type="expression" dxfId="21" priority="26">
      <formula>$F$23&gt;=$N$23</formula>
    </cfRule>
  </conditionalFormatting>
  <conditionalFormatting sqref="W25">
    <cfRule type="expression" dxfId="20" priority="25">
      <formula>$F$23&gt;=$N$23</formula>
    </cfRule>
  </conditionalFormatting>
  <conditionalFormatting sqref="I84 K84 M84">
    <cfRule type="expression" dxfId="19" priority="19">
      <formula>I$80=0</formula>
    </cfRule>
  </conditionalFormatting>
  <conditionalFormatting sqref="W70 W61 W53 W44 W34">
    <cfRule type="expression" dxfId="18" priority="13">
      <formula>$F$23&gt;=$N$23</formula>
    </cfRule>
  </conditionalFormatting>
  <conditionalFormatting sqref="B16:G16 N16 I16 K16">
    <cfRule type="expression" dxfId="17" priority="126">
      <formula>$D15&lt;=0</formula>
    </cfRule>
  </conditionalFormatting>
  <conditionalFormatting sqref="N25:N48 N50:N75">
    <cfRule type="expression" dxfId="16" priority="9">
      <formula>$F$23&lt;$N$23</formula>
    </cfRule>
  </conditionalFormatting>
  <conditionalFormatting sqref="P25:V25 P26:P48 V26:V48 T26:T48 R26:R48 R50:R75 T50:T75 V50:V75 P50:P75">
    <cfRule type="expression" dxfId="15" priority="8">
      <formula>$F$23&lt;P$23</formula>
    </cfRule>
  </conditionalFormatting>
  <conditionalFormatting sqref="O26:O48 Q26:Q48 S26:S48 U26:U48 U50:U75 S50:S75 Q50:Q75 O50:O75">
    <cfRule type="expression" dxfId="14" priority="7">
      <formula>$F$23&lt;P$23</formula>
    </cfRule>
  </conditionalFormatting>
  <conditionalFormatting sqref="D26">
    <cfRule type="expression" dxfId="13" priority="6">
      <formula>AND($D$26=0,$D$72&gt;0)</formula>
    </cfRule>
  </conditionalFormatting>
  <conditionalFormatting sqref="F26 H26 J26 L26 N26 P26 R26 T26 V26">
    <cfRule type="expression" dxfId="12" priority="5">
      <formula>AND(F$26=0,F$72&gt;0)</formula>
    </cfRule>
  </conditionalFormatting>
  <conditionalFormatting sqref="K15">
    <cfRule type="expression" dxfId="11" priority="4">
      <formula>$J$15="P&amp;I"</formula>
    </cfRule>
  </conditionalFormatting>
  <conditionalFormatting sqref="E107:E108">
    <cfRule type="expression" dxfId="10" priority="3">
      <formula>$D107="Investment Mortgage"</formula>
    </cfRule>
  </conditionalFormatting>
  <conditionalFormatting sqref="P49:V49">
    <cfRule type="expression" dxfId="9" priority="2">
      <formula>$F$23&lt;P$23</formula>
    </cfRule>
  </conditionalFormatting>
  <conditionalFormatting sqref="N49">
    <cfRule type="expression" dxfId="8" priority="1">
      <formula>$F$23&lt;$N$23</formula>
    </cfRule>
  </conditionalFormatting>
  <dataValidations count="5">
    <dataValidation type="decimal" allowBlank="1" showInputMessage="1" showErrorMessage="1" sqref="I109:I131 H107:H131 J107:J131 L107:L131 K109:K131" xr:uid="{00000000-0002-0000-0000-000000000000}">
      <formula1>0</formula1>
      <formula2>10000000</formula2>
    </dataValidation>
    <dataValidation type="decimal" allowBlank="1" showInputMessage="1" showErrorMessage="1" sqref="F87:F98 H87:H98 J87:J98 L87:L98 N87:N98" xr:uid="{00000000-0002-0000-0000-000001000000}">
      <formula1>0</formula1>
      <formula2>50000</formula2>
    </dataValidation>
    <dataValidation type="decimal" allowBlank="1" showInputMessage="1" showErrorMessage="1" sqref="N15:N19" xr:uid="{00000000-0002-0000-0000-000002000000}">
      <formula1>0</formula1>
      <formula2>0.48</formula2>
    </dataValidation>
    <dataValidation type="list" allowBlank="1" showInputMessage="1" showErrorMessage="1" sqref="D26 F26 H26 J26 L26 N26 P26 R26 T26 V26 X26:AG26" xr:uid="{00000000-0002-0000-0000-000003000000}">
      <formula1>$B$107:$B$111</formula1>
    </dataValidation>
    <dataValidation type="list" allowBlank="1" showInputMessage="1" showErrorMessage="1" sqref="F82 H82 J82 L82 N82" xr:uid="{00000000-0002-0000-0000-000004000000}">
      <formula1>$B$107:$B$108</formula1>
    </dataValidation>
  </dataValidations>
  <printOptions horizontalCentered="1" verticalCentered="1"/>
  <pageMargins left="3.937007874015748E-2" right="3.937007874015748E-2" top="0.19685039370078741" bottom="0.19685039370078741" header="0" footer="0"/>
  <pageSetup paperSize="9" scale="87" fitToHeight="3" orientation="portrait" r:id="rId1"/>
  <ignoredErrors>
    <ignoredError sqref="I84 K84 M84" unlockedFormula="1"/>
    <ignoredError sqref="L99 J99 N99 H99 F99" formulaRange="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5000000}">
          <x14:formula1>
            <xm:f>'/Users/chris/OneDrive - Ready Set Group/@WORK/@READY SET GROUP PTY LTD/INCOME/@INVOICES/\\fsv1-tvo-vmp.tvo.prd\bmy$\Citrix_Home_Drives\bmymillerj\Documents\[BNK Servicing Calc plus feedback.xlsx]Console'!#REF!</xm:f>
          </x14:formula1>
          <xm:sqref>V127:V132 T127:T132 D132 N132 P132 J132 H132 F132 L132 R132</xm:sqref>
        </x14:dataValidation>
        <x14:dataValidation type="list" allowBlank="1" showInputMessage="1" showErrorMessage="1" xr:uid="{00000000-0002-0000-0000-000006000000}">
          <x14:formula1>
            <xm:f>Console!$A$3:$A$10</xm:f>
          </x14:formula1>
          <xm:sqref>J11</xm:sqref>
        </x14:dataValidation>
        <x14:dataValidation type="list" allowBlank="1" showInputMessage="1" showErrorMessage="1" xr:uid="{00000000-0002-0000-0000-000007000000}">
          <x14:formula1>
            <xm:f>Console!$H$2:$H$3</xm:f>
          </x14:formula1>
          <xm:sqref>N107:N131</xm:sqref>
        </x14:dataValidation>
        <x14:dataValidation type="list" allowBlank="1" showInputMessage="1" showErrorMessage="1" xr:uid="{00000000-0002-0000-0000-000008000000}">
          <x14:formula1>
            <xm:f>Console!$BD$4:$BD$24</xm:f>
          </x14:formula1>
          <xm:sqref>I83 M83 K83</xm:sqref>
        </x14:dataValidation>
        <x14:dataValidation type="list" allowBlank="1" showInputMessage="1" showErrorMessage="1" xr:uid="{00000000-0002-0000-0000-000009000000}">
          <x14:formula1>
            <xm:f>Console!$BE$3:$BJ$3</xm:f>
          </x14:formula1>
          <xm:sqref>I82 K82 M82</xm:sqref>
        </x14:dataValidation>
        <x14:dataValidation type="list" allowBlank="1" showInputMessage="1" showErrorMessage="1" xr:uid="{00000000-0002-0000-0000-00000A000000}">
          <x14:formula1>
            <xm:f>Console!$AT$4:$AT$12</xm:f>
          </x14:formula1>
          <xm:sqref>D107:D131</xm:sqref>
        </x14:dataValidation>
        <x14:dataValidation type="list" allowBlank="1" showInputMessage="1" showErrorMessage="1" xr:uid="{00000000-0002-0000-0000-00000B000000}">
          <x14:formula1>
            <xm:f>Console!$J$2:$J$3</xm:f>
          </x14:formula1>
          <xm:sqref>H15:H19</xm:sqref>
        </x14:dataValidation>
        <x14:dataValidation type="list" allowBlank="1" showInputMessage="1" showErrorMessage="1" xr:uid="{00000000-0002-0000-0000-00000C000000}">
          <x14:formula1>
            <xm:f>Console!$I$2:$I$3</xm:f>
          </x14:formula1>
          <xm:sqref>J15:J19</xm:sqref>
        </x14:dataValidation>
        <x14:dataValidation type="list" allowBlank="1" showInputMessage="1" showErrorMessage="1" xr:uid="{00000000-0002-0000-0000-00000D000000}">
          <x14:formula1>
            <xm:f>Console!$BD$4:$BD$14</xm:f>
          </x14:formula1>
          <xm:sqref>F83 H83 J83 L83 N83</xm:sqref>
        </x14:dataValidation>
        <x14:dataValidation type="list" allowBlank="1" showInputMessage="1" showErrorMessage="1" xr:uid="{00000000-0002-0000-0000-00000E000000}">
          <x14:formula1>
            <xm:f>Formulas!$E$48:$X$48</xm:f>
          </x14:formula1>
          <xm:sqref>F107:F131</xm:sqref>
        </x14:dataValidation>
        <x14:dataValidation type="whole" allowBlank="1" showInputMessage="1" showErrorMessage="1" xr:uid="{00000000-0002-0000-0000-00000F000000}">
          <x14:formula1>
            <xm:f>Console!M3</xm:f>
          </x14:formula1>
          <x14:formula2>
            <xm:f>Console!M4</xm:f>
          </x14:formula2>
          <xm:sqref>L15:L19</xm:sqref>
        </x14:dataValidation>
        <x14:dataValidation type="whole" errorStyle="information" allowBlank="1" showInputMessage="1" showErrorMessage="1" errorTitle="Incorrect Value" error="Please ensure the loan term is between 1 and 30 years" xr:uid="{00000000-0002-0000-0000-000010000000}">
          <x14:formula1>
            <xm:f>0</xm:f>
          </x14:formula1>
          <x14:formula2>
            <xm:f>Console!L4</xm:f>
          </x14:formula2>
          <xm:sqref>F20</xm:sqref>
        </x14:dataValidation>
        <x14:dataValidation type="whole" allowBlank="1" showInputMessage="1" showErrorMessage="1" xr:uid="{00000000-0002-0000-0000-000011000000}">
          <x14:formula1>
            <xm:f>0</xm:f>
          </x14:formula1>
          <x14:formula2>
            <xm:f>Console!P4</xm:f>
          </x14:formula2>
          <xm:sqref>D20</xm:sqref>
        </x14:dataValidation>
        <x14:dataValidation type="whole" allowBlank="1" showInputMessage="1" showErrorMessage="1" xr:uid="{00000000-0002-0000-0000-000012000000}">
          <x14:formula1>
            <xm:f>Console!L3</xm:f>
          </x14:formula1>
          <x14:formula2>
            <xm:f>Console!L4</xm:f>
          </x14:formula2>
          <xm:sqref>F15:F19</xm:sqref>
        </x14:dataValidation>
        <x14:dataValidation type="whole" allowBlank="1" showInputMessage="1" showErrorMessage="1" xr:uid="{00000000-0002-0000-0000-000013000000}">
          <x14:formula1>
            <xm:f>Console!P3</xm:f>
          </x14:formula1>
          <x14:formula2>
            <xm:f>Console!P4</xm:f>
          </x14:formula2>
          <xm:sqref>D15:D19</xm:sqref>
        </x14:dataValidation>
        <x14:dataValidation type="list" allowBlank="1" showInputMessage="1" showErrorMessage="1" xr:uid="{00000000-0002-0000-0000-000014000000}">
          <x14:formula1>
            <xm:f>Console!$K$8:$K$9</xm:f>
          </x14:formula1>
          <xm:sqref>D13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rgb="FFFF0000"/>
  </sheetPr>
  <dimension ref="B1:T12"/>
  <sheetViews>
    <sheetView zoomScale="80" zoomScaleNormal="80" workbookViewId="0">
      <selection activeCell="N48" sqref="N48"/>
    </sheetView>
  </sheetViews>
  <sheetFormatPr baseColWidth="10" defaultColWidth="8.83203125" defaultRowHeight="15"/>
  <cols>
    <col min="5" max="5" width="26.83203125" bestFit="1" customWidth="1"/>
  </cols>
  <sheetData>
    <row r="1" spans="2:20">
      <c r="B1" t="s">
        <v>168</v>
      </c>
      <c r="C1" t="s">
        <v>167</v>
      </c>
      <c r="D1" t="s">
        <v>314</v>
      </c>
      <c r="F1">
        <v>0</v>
      </c>
      <c r="G1">
        <v>22000</v>
      </c>
      <c r="H1">
        <v>32000</v>
      </c>
      <c r="I1">
        <v>43000</v>
      </c>
      <c r="J1">
        <v>54000</v>
      </c>
      <c r="K1">
        <v>65000</v>
      </c>
      <c r="L1">
        <v>86000</v>
      </c>
      <c r="M1">
        <v>108000</v>
      </c>
      <c r="N1">
        <v>130000</v>
      </c>
      <c r="O1">
        <v>151000</v>
      </c>
      <c r="P1">
        <v>173000</v>
      </c>
      <c r="Q1">
        <v>216000</v>
      </c>
      <c r="R1">
        <v>270000</v>
      </c>
      <c r="S1">
        <v>324000</v>
      </c>
      <c r="T1">
        <v>9.9999999999999898E+18</v>
      </c>
    </row>
    <row r="2" spans="2:20">
      <c r="E2" t="s">
        <v>305</v>
      </c>
      <c r="F2">
        <v>3</v>
      </c>
      <c r="G2">
        <v>4</v>
      </c>
      <c r="H2">
        <v>5</v>
      </c>
      <c r="I2">
        <v>6</v>
      </c>
      <c r="J2">
        <v>7</v>
      </c>
      <c r="K2">
        <v>8</v>
      </c>
      <c r="L2">
        <v>9</v>
      </c>
      <c r="M2">
        <v>10</v>
      </c>
      <c r="N2">
        <v>11</v>
      </c>
      <c r="O2">
        <v>12</v>
      </c>
      <c r="P2">
        <v>13</v>
      </c>
      <c r="Q2">
        <v>14</v>
      </c>
      <c r="R2">
        <v>15</v>
      </c>
      <c r="S2">
        <v>16</v>
      </c>
    </row>
    <row r="3" spans="2:20">
      <c r="B3">
        <v>2</v>
      </c>
      <c r="C3">
        <v>0</v>
      </c>
      <c r="D3" t="str">
        <f>CONCATENATE(B3,C3)</f>
        <v>20</v>
      </c>
      <c r="E3" t="s">
        <v>63</v>
      </c>
      <c r="F3">
        <f>G3</f>
        <v>492.97976614855526</v>
      </c>
      <c r="G3">
        <v>492.97976614855526</v>
      </c>
      <c r="H3">
        <v>506.96749120719466</v>
      </c>
      <c r="I3">
        <v>527.49592837168041</v>
      </c>
      <c r="J3">
        <v>565.96968840041177</v>
      </c>
      <c r="K3">
        <v>615.65717913264939</v>
      </c>
      <c r="L3">
        <v>687.21895992312034</v>
      </c>
      <c r="M3">
        <v>744.26657552111817</v>
      </c>
      <c r="N3">
        <v>832.71749358552552</v>
      </c>
      <c r="O3">
        <v>866.46606678345859</v>
      </c>
      <c r="P3">
        <v>912.60721633291996</v>
      </c>
      <c r="Q3">
        <v>1016.9538499680834</v>
      </c>
      <c r="R3">
        <v>1143.3381031538431</v>
      </c>
      <c r="S3">
        <v>1174.8263384460042</v>
      </c>
    </row>
    <row r="4" spans="2:20">
      <c r="B4">
        <v>2</v>
      </c>
      <c r="C4">
        <v>1</v>
      </c>
      <c r="D4" t="str">
        <f t="shared" ref="D4:D11" si="0">CONCATENATE(B4,C4)</f>
        <v>21</v>
      </c>
      <c r="E4" t="s">
        <v>64</v>
      </c>
      <c r="F4">
        <f>G4</f>
        <v>581.033134662473</v>
      </c>
      <c r="G4">
        <f>H4</f>
        <v>581.033134662473</v>
      </c>
      <c r="H4">
        <v>581.033134662473</v>
      </c>
      <c r="I4">
        <v>601.54169303028129</v>
      </c>
      <c r="J4">
        <v>639.97817706106798</v>
      </c>
      <c r="K4">
        <v>689.61762172997055</v>
      </c>
      <c r="L4">
        <v>761.11012849928284</v>
      </c>
      <c r="M4">
        <v>818.10254625643768</v>
      </c>
      <c r="N4">
        <v>906.46783398502316</v>
      </c>
      <c r="O4">
        <v>940.18376050862105</v>
      </c>
      <c r="P4">
        <v>986.28019418261783</v>
      </c>
      <c r="Q4">
        <v>1090.5258306064277</v>
      </c>
      <c r="R4">
        <v>1216.7877563467675</v>
      </c>
      <c r="S4">
        <v>1248.245514144407</v>
      </c>
    </row>
    <row r="5" spans="2:20">
      <c r="B5">
        <v>2</v>
      </c>
      <c r="C5">
        <v>2</v>
      </c>
      <c r="D5" t="str">
        <f t="shared" si="0"/>
        <v>22</v>
      </c>
      <c r="E5" t="s">
        <v>65</v>
      </c>
      <c r="F5">
        <f>G5</f>
        <v>644.18404637526601</v>
      </c>
      <c r="G5">
        <f>H5</f>
        <v>644.18404637526601</v>
      </c>
      <c r="H5">
        <v>644.18404637526601</v>
      </c>
      <c r="I5">
        <v>664.6940264779804</v>
      </c>
      <c r="J5">
        <v>703.13321228845098</v>
      </c>
      <c r="K5">
        <v>752.77605164925717</v>
      </c>
      <c r="L5">
        <v>824.27352386613563</v>
      </c>
      <c r="M5">
        <v>881.26989256456386</v>
      </c>
      <c r="N5">
        <v>969.64130612665758</v>
      </c>
      <c r="O5">
        <v>1003.3595513676959</v>
      </c>
      <c r="P5">
        <v>1049.4591992347766</v>
      </c>
      <c r="Q5">
        <v>1153.7120437762806</v>
      </c>
      <c r="R5">
        <v>1279.9827597055375</v>
      </c>
      <c r="S5">
        <v>1311.4426982801745</v>
      </c>
    </row>
    <row r="6" spans="2:20">
      <c r="B6">
        <v>2</v>
      </c>
      <c r="C6">
        <v>3</v>
      </c>
      <c r="D6" t="str">
        <f t="shared" si="0"/>
        <v>23</v>
      </c>
      <c r="E6" t="s">
        <v>66</v>
      </c>
      <c r="F6">
        <f>G6</f>
        <v>725.08011017878096</v>
      </c>
      <c r="G6">
        <f>H6</f>
        <v>725.08011017878096</v>
      </c>
      <c r="H6">
        <f>I6</f>
        <v>725.08011017878096</v>
      </c>
      <c r="I6">
        <v>725.08011017878096</v>
      </c>
      <c r="J6">
        <v>763.54340832943672</v>
      </c>
      <c r="K6">
        <v>813.21738791876726</v>
      </c>
      <c r="L6">
        <v>884.75967222341706</v>
      </c>
      <c r="M6">
        <v>941.79184976140505</v>
      </c>
      <c r="N6">
        <v>1030.2187160377944</v>
      </c>
      <c r="O6">
        <v>1063.9580377760178</v>
      </c>
      <c r="P6">
        <v>1110.0866777452065</v>
      </c>
      <c r="Q6">
        <v>1214.4049185743752</v>
      </c>
      <c r="R6">
        <v>1340.7548422806367</v>
      </c>
      <c r="S6">
        <v>1372.2345152155397</v>
      </c>
    </row>
    <row r="7" spans="2:20">
      <c r="D7" t="str">
        <f t="shared" si="0"/>
        <v/>
      </c>
    </row>
    <row r="8" spans="2:20">
      <c r="B8">
        <v>1</v>
      </c>
      <c r="C8">
        <v>0</v>
      </c>
      <c r="D8" t="str">
        <f t="shared" si="0"/>
        <v>10</v>
      </c>
      <c r="E8" t="s">
        <v>67</v>
      </c>
      <c r="F8">
        <v>253.91581547039669</v>
      </c>
      <c r="G8">
        <v>267.52553186164016</v>
      </c>
      <c r="H8">
        <v>281.49652532112304</v>
      </c>
      <c r="I8">
        <v>302.00041830128282</v>
      </c>
      <c r="J8">
        <v>340.42819581034308</v>
      </c>
      <c r="K8">
        <v>390.05632965513496</v>
      </c>
      <c r="L8">
        <v>461.53253575909093</v>
      </c>
      <c r="M8">
        <v>518.51201649988047</v>
      </c>
      <c r="N8">
        <v>606.85720245853486</v>
      </c>
      <c r="O8">
        <v>640.56542191890685</v>
      </c>
      <c r="P8">
        <v>686.65142514746719</v>
      </c>
      <c r="Q8">
        <v>790.87332866229895</v>
      </c>
      <c r="R8">
        <v>917.10655031852662</v>
      </c>
      <c r="S8">
        <v>948.55718914938109</v>
      </c>
    </row>
    <row r="9" spans="2:20">
      <c r="B9">
        <v>1</v>
      </c>
      <c r="C9">
        <v>1</v>
      </c>
      <c r="D9" t="str">
        <f t="shared" si="0"/>
        <v>11</v>
      </c>
      <c r="E9" t="s">
        <v>68</v>
      </c>
      <c r="F9">
        <f>G9</f>
        <v>359.94043286962977</v>
      </c>
      <c r="G9">
        <v>359.94043286962977</v>
      </c>
      <c r="H9">
        <v>373.9449133948271</v>
      </c>
      <c r="I9">
        <v>394.49792012084691</v>
      </c>
      <c r="J9">
        <v>433.01776318771505</v>
      </c>
      <c r="K9">
        <v>482.76475648341176</v>
      </c>
      <c r="L9">
        <v>554.41223508916732</v>
      </c>
      <c r="M9">
        <v>611.52816726579056</v>
      </c>
      <c r="N9">
        <v>700.08500849692598</v>
      </c>
      <c r="O9">
        <v>733.87399682930788</v>
      </c>
      <c r="P9">
        <v>780.07036478299642</v>
      </c>
      <c r="Q9">
        <v>884.54193863415185</v>
      </c>
      <c r="R9">
        <v>1011.0775601683632</v>
      </c>
      <c r="S9">
        <v>1042.6035037587515</v>
      </c>
    </row>
    <row r="10" spans="2:20">
      <c r="B10">
        <v>1</v>
      </c>
      <c r="C10">
        <v>2</v>
      </c>
      <c r="D10" t="str">
        <f t="shared" si="0"/>
        <v>12</v>
      </c>
      <c r="E10" t="s">
        <v>69</v>
      </c>
      <c r="F10">
        <f>G10</f>
        <v>452.89570336928517</v>
      </c>
      <c r="G10">
        <v>452.89570336928517</v>
      </c>
      <c r="H10">
        <v>466.934753754334</v>
      </c>
      <c r="I10">
        <v>487.53845571890207</v>
      </c>
      <c r="J10">
        <v>526.15336227067121</v>
      </c>
      <c r="K10">
        <v>576.02318543473405</v>
      </c>
      <c r="L10">
        <v>647.84745418742227</v>
      </c>
      <c r="M10">
        <v>705.10441323898033</v>
      </c>
      <c r="N10">
        <v>793.87980752993985</v>
      </c>
      <c r="O10">
        <v>827.7521735334617</v>
      </c>
      <c r="P10">
        <v>874.06257983750402</v>
      </c>
      <c r="Q10">
        <v>978.79202410820926</v>
      </c>
      <c r="R10">
        <v>1105.6399361068993</v>
      </c>
      <c r="S10">
        <v>1137.2436905197485</v>
      </c>
    </row>
    <row r="11" spans="2:20">
      <c r="B11">
        <v>1</v>
      </c>
      <c r="C11">
        <v>3</v>
      </c>
      <c r="D11" t="str">
        <f t="shared" si="0"/>
        <v>13</v>
      </c>
      <c r="E11" t="s">
        <v>70</v>
      </c>
      <c r="F11">
        <f>G11</f>
        <v>561.69935490534851</v>
      </c>
      <c r="G11">
        <f>H11</f>
        <v>561.69935490534851</v>
      </c>
      <c r="H11">
        <v>561.69935490534851</v>
      </c>
      <c r="I11">
        <v>582.40245643028845</v>
      </c>
      <c r="J11">
        <v>621.20370718149047</v>
      </c>
      <c r="K11">
        <v>671.31424654447108</v>
      </c>
      <c r="L11">
        <v>743.48508864182702</v>
      </c>
      <c r="M11">
        <v>801.01842322716345</v>
      </c>
      <c r="N11">
        <v>890.22222430889417</v>
      </c>
      <c r="O11">
        <v>924.25803786057702</v>
      </c>
      <c r="P11">
        <v>970.79195462740381</v>
      </c>
      <c r="Q11">
        <v>1076.0268366887019</v>
      </c>
      <c r="R11">
        <v>1203.4868915264424</v>
      </c>
      <c r="S11">
        <v>1235.2431640625</v>
      </c>
    </row>
    <row r="12" spans="2:20">
      <c r="D12" t="str">
        <f t="shared" ref="D12" si="1">CONCATENATE(A12,B12,C12)</f>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FF0000"/>
  </sheetPr>
  <dimension ref="B3:AQ351"/>
  <sheetViews>
    <sheetView topLeftCell="A15" workbookViewId="0">
      <selection activeCell="L56" sqref="L56"/>
    </sheetView>
  </sheetViews>
  <sheetFormatPr baseColWidth="10" defaultColWidth="8.83203125" defaultRowHeight="15" outlineLevelRow="1"/>
  <cols>
    <col min="2" max="3" width="2.83203125" customWidth="1"/>
    <col min="4" max="4" width="35.5" style="230" bestFit="1" customWidth="1"/>
    <col min="5" max="5" width="12.5" bestFit="1" customWidth="1"/>
    <col min="6" max="10" width="2.83203125" customWidth="1"/>
    <col min="11" max="11" width="49.33203125" bestFit="1" customWidth="1"/>
    <col min="12" max="16" width="10.1640625" customWidth="1"/>
    <col min="20" max="22" width="2.83203125" customWidth="1"/>
    <col min="23" max="23" width="3.5" customWidth="1"/>
    <col min="24" max="24" width="2.83203125" customWidth="1"/>
    <col min="35" max="35" width="15" customWidth="1"/>
    <col min="37" max="37" width="16" customWidth="1"/>
  </cols>
  <sheetData>
    <row r="3" spans="2:43">
      <c r="B3" s="147" t="s">
        <v>344</v>
      </c>
      <c r="C3" s="147"/>
      <c r="D3" s="148"/>
      <c r="E3" s="147"/>
      <c r="F3" s="147"/>
      <c r="I3" s="147" t="s">
        <v>345</v>
      </c>
      <c r="J3" s="147"/>
      <c r="K3" s="148"/>
      <c r="L3" s="147"/>
      <c r="M3" s="147"/>
      <c r="N3" s="147"/>
      <c r="O3" s="147"/>
      <c r="P3" s="147"/>
      <c r="Q3" s="147"/>
      <c r="R3" s="147"/>
      <c r="S3" s="147"/>
      <c r="V3" s="147" t="s">
        <v>346</v>
      </c>
      <c r="W3" s="147"/>
      <c r="X3" s="148"/>
      <c r="Y3" s="147"/>
      <c r="Z3" s="147"/>
      <c r="AA3" s="147"/>
      <c r="AB3" s="147"/>
      <c r="AC3" s="147"/>
      <c r="AD3" s="147"/>
      <c r="AE3" s="147"/>
      <c r="AF3" s="147"/>
      <c r="AG3" s="147"/>
    </row>
    <row r="9" spans="2:43" s="149" customFormat="1" ht="32">
      <c r="C9" s="150" t="s">
        <v>347</v>
      </c>
      <c r="D9" s="151" t="s">
        <v>348</v>
      </c>
      <c r="E9" s="152" t="s">
        <v>349</v>
      </c>
      <c r="J9" s="151" t="s">
        <v>347</v>
      </c>
      <c r="K9" s="151" t="s">
        <v>350</v>
      </c>
      <c r="L9" s="153">
        <v>1</v>
      </c>
      <c r="M9" s="153">
        <f t="shared" ref="M9:O9" si="0">L9+1</f>
        <v>2</v>
      </c>
      <c r="N9" s="153">
        <f t="shared" si="0"/>
        <v>3</v>
      </c>
      <c r="O9" s="153">
        <f t="shared" si="0"/>
        <v>4</v>
      </c>
      <c r="P9" s="150" t="s">
        <v>351</v>
      </c>
      <c r="Q9" s="152" t="s">
        <v>352</v>
      </c>
      <c r="R9" s="152" t="s">
        <v>353</v>
      </c>
      <c r="W9" s="154" t="s">
        <v>354</v>
      </c>
      <c r="X9" s="154"/>
      <c r="Y9" s="154"/>
      <c r="Z9" s="154"/>
      <c r="AA9" s="154"/>
      <c r="AB9" s="154"/>
      <c r="AC9" s="154"/>
      <c r="AD9" s="154"/>
      <c r="AE9" s="154"/>
      <c r="AF9" s="154"/>
      <c r="AI9" s="149" t="s">
        <v>583</v>
      </c>
      <c r="AK9" s="149" t="s">
        <v>389</v>
      </c>
      <c r="AL9" s="149" t="s">
        <v>585</v>
      </c>
      <c r="AM9" s="149" t="s">
        <v>589</v>
      </c>
      <c r="AO9" s="149" t="s">
        <v>486</v>
      </c>
      <c r="AP9" s="149" t="s">
        <v>420</v>
      </c>
      <c r="AQ9" s="149" t="s">
        <v>592</v>
      </c>
    </row>
    <row r="10" spans="2:43">
      <c r="C10" s="15">
        <v>1</v>
      </c>
      <c r="D10" s="155" t="s">
        <v>355</v>
      </c>
      <c r="E10" s="156">
        <f>'Loan Feature Input'!E4</f>
        <v>1</v>
      </c>
      <c r="J10" s="157">
        <v>1</v>
      </c>
      <c r="K10" s="158" t="s">
        <v>356</v>
      </c>
      <c r="L10" s="159">
        <f>E42</f>
        <v>0.7</v>
      </c>
      <c r="M10" s="159"/>
      <c r="N10" s="159"/>
      <c r="O10" s="159"/>
      <c r="P10" s="160">
        <f>0.45+EXP(-6.6+100*0.08*L10)</f>
        <v>0.81787944117144229</v>
      </c>
      <c r="Q10" s="158" t="s">
        <v>357</v>
      </c>
      <c r="R10" s="161" t="s">
        <v>358</v>
      </c>
      <c r="W10" s="162"/>
      <c r="X10" s="149"/>
      <c r="Y10" s="149"/>
      <c r="Z10" s="16"/>
      <c r="AA10" s="16"/>
      <c r="AB10" s="16"/>
      <c r="AC10" s="16"/>
      <c r="AD10" s="16"/>
      <c r="AE10" s="16"/>
      <c r="AF10" s="16"/>
      <c r="AI10" t="s">
        <v>582</v>
      </c>
      <c r="AK10" t="s">
        <v>390</v>
      </c>
      <c r="AL10" t="s">
        <v>584</v>
      </c>
      <c r="AM10" t="s">
        <v>590</v>
      </c>
      <c r="AN10" t="s">
        <v>35</v>
      </c>
      <c r="AO10" t="s">
        <v>506</v>
      </c>
      <c r="AP10" t="str">
        <f>CONCATENATE(Z113," - ",AA113)</f>
        <v>Exclude - Exclude</v>
      </c>
      <c r="AQ10" t="s">
        <v>394</v>
      </c>
    </row>
    <row r="11" spans="2:43">
      <c r="C11" s="15">
        <f t="shared" ref="C11:C59" ca="1" si="1">OFFSET(C11,-1,)+1</f>
        <v>2</v>
      </c>
      <c r="D11" s="155" t="s">
        <v>359</v>
      </c>
      <c r="E11" s="156" t="str">
        <f>'Loan Feature Input'!E5</f>
        <v>tester</v>
      </c>
      <c r="J11" s="157">
        <f t="shared" ref="J11:J39" ca="1" si="2">OFFSET(J11,-1,)+1</f>
        <v>2</v>
      </c>
      <c r="K11" s="158" t="s">
        <v>361</v>
      </c>
      <c r="L11" s="163">
        <v>251</v>
      </c>
      <c r="M11" s="163"/>
      <c r="N11" s="163"/>
      <c r="O11" s="163"/>
      <c r="P11" s="160">
        <f>IF(L11&lt;=100,16.0839/LN(L11),IF(L11&lt;250,16.0839/LN(L11)*(250-L11)/150+((L11-100)/150),1))</f>
        <v>1</v>
      </c>
      <c r="Q11" s="158" t="s">
        <v>357</v>
      </c>
      <c r="R11" s="161" t="s">
        <v>362</v>
      </c>
      <c r="W11" s="164">
        <v>1</v>
      </c>
      <c r="X11" s="165" t="s">
        <v>363</v>
      </c>
      <c r="AK11" t="s">
        <v>525</v>
      </c>
      <c r="AL11" t="s">
        <v>412</v>
      </c>
      <c r="AM11" t="s">
        <v>445</v>
      </c>
      <c r="AN11" t="s">
        <v>36</v>
      </c>
      <c r="AO11" t="s">
        <v>507</v>
      </c>
      <c r="AP11" t="str">
        <f t="shared" ref="AP11:AP70" si="3">CONCATENATE(Z114," - ",AA114)</f>
        <v>ACT - Non metro</v>
      </c>
      <c r="AQ11" t="s">
        <v>557</v>
      </c>
    </row>
    <row r="12" spans="2:43">
      <c r="C12" s="15">
        <f t="shared" ca="1" si="1"/>
        <v>3</v>
      </c>
      <c r="D12" s="155" t="s">
        <v>364</v>
      </c>
      <c r="E12" s="156" t="str">
        <f>'Loan Feature Input'!E6</f>
        <v>Sub-prime</v>
      </c>
      <c r="J12" s="157">
        <f t="shared" ca="1" si="2"/>
        <v>3</v>
      </c>
      <c r="K12" s="158" t="s">
        <v>366</v>
      </c>
      <c r="L12" s="166" t="str">
        <f>$E$24</f>
        <v>Interest Only</v>
      </c>
      <c r="M12" s="167">
        <f>INT(YEARFRAC($E$29,$E$57,3)*12)</f>
        <v>25</v>
      </c>
      <c r="N12" s="168"/>
      <c r="O12" s="168"/>
      <c r="P12" s="160">
        <f ca="1">IF($L12&lt;&gt;"Principal and Interest",1,LOOKUP($M12,OFFSET($AC$14,,,$Z$12,1),OFFSET($AD$14,,,$Z$12,1)))</f>
        <v>1</v>
      </c>
      <c r="Q12" s="158" t="s">
        <v>357</v>
      </c>
      <c r="R12" s="161"/>
      <c r="X12" s="165"/>
      <c r="Y12" s="169" t="s">
        <v>367</v>
      </c>
      <c r="Z12" s="170">
        <f>COUNTA(Y14:Y20)</f>
        <v>7</v>
      </c>
      <c r="AO12" t="s">
        <v>509</v>
      </c>
      <c r="AP12" t="str">
        <f t="shared" si="3"/>
        <v>NT - Metro</v>
      </c>
    </row>
    <row r="13" spans="2:43">
      <c r="C13" s="15">
        <f t="shared" ca="1" si="1"/>
        <v>4</v>
      </c>
      <c r="D13" s="155" t="s">
        <v>368</v>
      </c>
      <c r="E13" s="156">
        <f>'Loan Feature Input'!E7</f>
        <v>1</v>
      </c>
      <c r="J13" s="157">
        <f t="shared" ca="1" si="2"/>
        <v>4</v>
      </c>
      <c r="K13" s="158" t="s">
        <v>369</v>
      </c>
      <c r="L13" s="166" t="str">
        <f>$E$24</f>
        <v>Interest Only</v>
      </c>
      <c r="M13" s="168">
        <f>MAX(0,M$12-(INT(YEARFRAC($E$29,$E$30,3))-$E$45)*12)</f>
        <v>0</v>
      </c>
      <c r="N13" s="168"/>
      <c r="O13" s="168"/>
      <c r="P13" s="160">
        <f ca="1">IF($L13&lt;&gt;"Interest Only",1,LOOKUP($M13,OFFSET($AC$14,,,$Z$12,1),OFFSET($AD$14,,,$Z$12,1)))</f>
        <v>1</v>
      </c>
      <c r="Q13" s="158" t="s">
        <v>357</v>
      </c>
      <c r="R13" s="161"/>
      <c r="Y13" s="171" t="s">
        <v>370</v>
      </c>
      <c r="Z13" s="172" t="s">
        <v>371</v>
      </c>
      <c r="AA13" s="172" t="s">
        <v>372</v>
      </c>
      <c r="AB13" s="172" t="s">
        <v>373</v>
      </c>
      <c r="AC13" s="173" t="s">
        <v>374</v>
      </c>
      <c r="AD13" s="173" t="s">
        <v>375</v>
      </c>
      <c r="AE13" s="174" t="s">
        <v>376</v>
      </c>
      <c r="AO13" t="s">
        <v>307</v>
      </c>
      <c r="AP13" t="str">
        <f t="shared" si="3"/>
        <v>NT - Non metro</v>
      </c>
    </row>
    <row r="14" spans="2:43">
      <c r="C14" s="15">
        <f t="shared" ca="1" si="1"/>
        <v>5</v>
      </c>
      <c r="D14" s="155" t="s">
        <v>377</v>
      </c>
      <c r="E14" s="156" t="str">
        <f>'Loan Feature Input'!E8</f>
        <v>Australian</v>
      </c>
      <c r="J14" s="157">
        <f t="shared" ca="1" si="2"/>
        <v>5</v>
      </c>
      <c r="K14" s="158" t="s">
        <v>379</v>
      </c>
      <c r="L14" s="166" t="str">
        <f>$E$24</f>
        <v>Interest Only</v>
      </c>
      <c r="M14" s="168">
        <f>YEAR($E$30)-YEAR($E$29)-$E$45</f>
        <v>3</v>
      </c>
      <c r="N14" s="168"/>
      <c r="O14" s="168"/>
      <c r="P14" s="160">
        <f ca="1">IF($L14&lt;&gt;"Interest Only",1,LOOKUP($M14,OFFSET($AC$25,,,$Z$23,1),OFFSET($AD$25,,,$Z$23,1)))</f>
        <v>1.1000000000000001</v>
      </c>
      <c r="Q14" s="158" t="s">
        <v>357</v>
      </c>
      <c r="R14" s="161"/>
      <c r="Y14" s="175" t="s">
        <v>380</v>
      </c>
      <c r="Z14" s="176" t="s">
        <v>363</v>
      </c>
      <c r="AA14" s="176" t="s">
        <v>381</v>
      </c>
      <c r="AB14" s="176" t="s">
        <v>382</v>
      </c>
      <c r="AC14" s="177">
        <v>0</v>
      </c>
      <c r="AD14" s="178">
        <v>1</v>
      </c>
      <c r="AE14" s="179"/>
      <c r="AO14" t="s">
        <v>308</v>
      </c>
      <c r="AP14" t="str">
        <f t="shared" si="3"/>
        <v>NT - Metro</v>
      </c>
    </row>
    <row r="15" spans="2:43">
      <c r="C15" s="15">
        <f t="shared" ca="1" si="1"/>
        <v>6</v>
      </c>
      <c r="D15" s="155" t="s">
        <v>383</v>
      </c>
      <c r="E15" s="156">
        <f>'Loan Feature Input'!E9</f>
        <v>1000000</v>
      </c>
      <c r="J15" s="157">
        <f t="shared" ca="1" si="2"/>
        <v>6</v>
      </c>
      <c r="K15" s="158" t="s">
        <v>384</v>
      </c>
      <c r="L15" s="166" t="str">
        <f>$E$24</f>
        <v>Interest Only</v>
      </c>
      <c r="M15" s="168">
        <f>$E$45</f>
        <v>27</v>
      </c>
      <c r="N15" s="180"/>
      <c r="O15" s="180"/>
      <c r="P15" s="160">
        <f ca="1">IF($L15&lt;&gt;"Interest Only",1,LOOKUP($M15,OFFSET($AC$34,,,$Z$32,1),OFFSET($AD$34,,,$Z$32,1)))</f>
        <v>1</v>
      </c>
      <c r="Q15" s="158" t="s">
        <v>357</v>
      </c>
      <c r="R15" s="161"/>
      <c r="Y15" s="175" t="s">
        <v>380</v>
      </c>
      <c r="Z15" s="176" t="s">
        <v>363</v>
      </c>
      <c r="AA15" s="176" t="s">
        <v>385</v>
      </c>
      <c r="AB15" s="176" t="s">
        <v>382</v>
      </c>
      <c r="AC15" s="177">
        <v>60.000999999999998</v>
      </c>
      <c r="AD15" s="178">
        <v>0.75</v>
      </c>
      <c r="AE15" s="179"/>
      <c r="AO15" t="s">
        <v>309</v>
      </c>
      <c r="AP15" t="str">
        <f t="shared" si="3"/>
        <v>NT - Non metro</v>
      </c>
    </row>
    <row r="16" spans="2:43">
      <c r="C16" s="15">
        <f t="shared" ca="1" si="1"/>
        <v>7</v>
      </c>
      <c r="D16" s="155" t="s">
        <v>386</v>
      </c>
      <c r="E16" s="156">
        <f>'Loan Feature Input'!E10</f>
        <v>0.7</v>
      </c>
      <c r="J16" s="157">
        <f t="shared" ca="1" si="2"/>
        <v>7</v>
      </c>
      <c r="K16" s="158" t="s">
        <v>387</v>
      </c>
      <c r="L16" s="166" t="str">
        <f>$E$24</f>
        <v>Interest Only</v>
      </c>
      <c r="M16" s="168">
        <f>YEAR($E$30)-YEAR($E$29)</f>
        <v>30</v>
      </c>
      <c r="N16" s="168"/>
      <c r="O16" s="168"/>
      <c r="P16" s="160">
        <f ca="1">IF($L16&lt;&gt;"Principal and Interest",1,LOOKUP($M16,OFFSET($AC$43,,,$Z$41,1),OFFSET($AD$43,,,$Z$41,1)))</f>
        <v>1</v>
      </c>
      <c r="Q16" s="158" t="s">
        <v>357</v>
      </c>
      <c r="R16" s="161"/>
      <c r="Y16" s="175" t="s">
        <v>380</v>
      </c>
      <c r="Z16" s="176" t="s">
        <v>363</v>
      </c>
      <c r="AA16" s="176" t="s">
        <v>388</v>
      </c>
      <c r="AB16" s="176" t="s">
        <v>382</v>
      </c>
      <c r="AC16" s="177">
        <v>72.001000000000005</v>
      </c>
      <c r="AD16" s="178">
        <v>0.7</v>
      </c>
      <c r="AE16" s="179"/>
      <c r="AO16" t="s">
        <v>310</v>
      </c>
      <c r="AP16" t="str">
        <f t="shared" si="3"/>
        <v>NSW - Metro</v>
      </c>
    </row>
    <row r="17" spans="3:42">
      <c r="C17" s="15">
        <f t="shared" ca="1" si="1"/>
        <v>8</v>
      </c>
      <c r="D17" s="181" t="s">
        <v>389</v>
      </c>
      <c r="E17" s="156" t="str">
        <f>'Loan Feature Input'!E11</f>
        <v>Full Doc</v>
      </c>
      <c r="J17" s="157">
        <f t="shared" ca="1" si="2"/>
        <v>8</v>
      </c>
      <c r="K17" s="158" t="s">
        <v>391</v>
      </c>
      <c r="L17" s="180" t="str">
        <f>$E$55</f>
        <v>No</v>
      </c>
      <c r="M17" s="182"/>
      <c r="N17" s="182"/>
      <c r="O17" s="182"/>
      <c r="P17" s="160">
        <f ca="1">OFFSET($AD$50,MATCH($L17,OFFSET($AA$51,,,$Z$49,1),0),)</f>
        <v>1.05</v>
      </c>
      <c r="Q17" s="158" t="s">
        <v>357</v>
      </c>
      <c r="R17" s="161"/>
      <c r="Y17" s="175" t="s">
        <v>380</v>
      </c>
      <c r="Z17" s="176" t="s">
        <v>363</v>
      </c>
      <c r="AA17" s="176" t="s">
        <v>392</v>
      </c>
      <c r="AB17" s="176" t="s">
        <v>382</v>
      </c>
      <c r="AC17" s="177">
        <v>84.001000000000005</v>
      </c>
      <c r="AD17" s="178">
        <v>0.65</v>
      </c>
      <c r="AE17" s="179"/>
      <c r="AO17" t="s">
        <v>311</v>
      </c>
      <c r="AP17" t="str">
        <f t="shared" si="3"/>
        <v>NSW - Non metro</v>
      </c>
    </row>
    <row r="18" spans="3:42">
      <c r="C18" s="15">
        <f t="shared" ca="1" si="1"/>
        <v>9</v>
      </c>
      <c r="D18" s="155" t="s">
        <v>393</v>
      </c>
      <c r="E18" s="156" t="str">
        <f>'Loan Feature Input'!E12</f>
        <v>Variable</v>
      </c>
      <c r="J18" s="157">
        <f t="shared" ca="1" si="2"/>
        <v>9</v>
      </c>
      <c r="K18" s="158" t="s">
        <v>395</v>
      </c>
      <c r="L18" s="180">
        <f>$E$51</f>
        <v>2</v>
      </c>
      <c r="M18" s="180" t="str">
        <f>$E$54</f>
        <v>No</v>
      </c>
      <c r="N18" s="167">
        <f>$E$44</f>
        <v>25</v>
      </c>
      <c r="O18" s="180"/>
      <c r="P18" s="160">
        <f ca="1">IF(AND($E$17&lt;&gt;"Full Doc",$E$35="self employed")=FALSE,1,1+OFFSET($AD$56,MATCH($L18,OFFSET($AA$57,,,$Z$55,1),0),)*OFFSET($AD$65,MATCH($M18,OFFSET($AA$66,,,$Z$64,1),0),)*LOOKUP($N18,OFFSET($AC$72,,,$Z$70,1),OFFSET($AD$72,,,$Z$70,1)))</f>
        <v>1</v>
      </c>
      <c r="Q18" s="158" t="s">
        <v>357</v>
      </c>
      <c r="R18" s="161"/>
      <c r="Y18" s="175" t="s">
        <v>380</v>
      </c>
      <c r="Z18" s="176" t="s">
        <v>363</v>
      </c>
      <c r="AA18" s="176" t="s">
        <v>396</v>
      </c>
      <c r="AB18" s="176" t="s">
        <v>382</v>
      </c>
      <c r="AC18" s="177">
        <v>96.001000000000005</v>
      </c>
      <c r="AD18" s="178">
        <v>0.6</v>
      </c>
      <c r="AE18" s="179"/>
      <c r="AO18" t="s">
        <v>312</v>
      </c>
      <c r="AP18" t="str">
        <f t="shared" si="3"/>
        <v>NSW - Inner city</v>
      </c>
    </row>
    <row r="19" spans="3:42">
      <c r="C19" s="15">
        <f t="shared" ca="1" si="1"/>
        <v>10</v>
      </c>
      <c r="D19" s="155" t="s">
        <v>397</v>
      </c>
      <c r="E19" s="156" t="str">
        <f>'Loan Feature Input'!E13</f>
        <v>No</v>
      </c>
      <c r="J19" s="157">
        <f t="shared" ca="1" si="2"/>
        <v>10</v>
      </c>
      <c r="K19" s="158" t="s">
        <v>398</v>
      </c>
      <c r="L19" s="182"/>
      <c r="M19" s="182"/>
      <c r="N19" s="182"/>
      <c r="O19" s="182"/>
      <c r="P19" s="183">
        <v>1.3</v>
      </c>
      <c r="Q19" s="158" t="s">
        <v>357</v>
      </c>
      <c r="R19" s="161"/>
      <c r="Y19" s="175" t="s">
        <v>380</v>
      </c>
      <c r="Z19" s="176" t="s">
        <v>363</v>
      </c>
      <c r="AA19" s="176" t="s">
        <v>399</v>
      </c>
      <c r="AB19" s="176" t="s">
        <v>382</v>
      </c>
      <c r="AC19" s="177">
        <v>108.001</v>
      </c>
      <c r="AD19" s="178">
        <v>0.55000000000000004</v>
      </c>
      <c r="AE19" s="179"/>
      <c r="AP19" t="str">
        <f t="shared" si="3"/>
        <v>NSW - Metro</v>
      </c>
    </row>
    <row r="20" spans="3:42">
      <c r="C20" s="15">
        <f t="shared" ca="1" si="1"/>
        <v>11</v>
      </c>
      <c r="D20" s="155" t="s">
        <v>400</v>
      </c>
      <c r="E20" s="156" t="str">
        <f>'Loan Feature Input'!E14</f>
        <v>Investment</v>
      </c>
      <c r="J20" s="157">
        <f t="shared" ca="1" si="2"/>
        <v>11</v>
      </c>
      <c r="K20" s="158" t="s">
        <v>402</v>
      </c>
      <c r="L20" s="167">
        <f>$E$44</f>
        <v>25</v>
      </c>
      <c r="M20" s="180" t="str">
        <f>$E$37</f>
        <v>No</v>
      </c>
      <c r="N20" s="182"/>
      <c r="O20" s="182"/>
      <c r="P20" s="160">
        <f ca="1">IF($L20&gt;$AC$83,1,OFFSET($AD$82,MATCH($M20,OFFSET($AA$83,,,$Z$81,1),0),))</f>
        <v>1</v>
      </c>
      <c r="Q20" s="158" t="s">
        <v>357</v>
      </c>
      <c r="R20" s="161"/>
      <c r="Y20" s="184" t="s">
        <v>380</v>
      </c>
      <c r="Z20" s="185" t="s">
        <v>363</v>
      </c>
      <c r="AA20" s="185" t="s">
        <v>403</v>
      </c>
      <c r="AB20" s="185" t="s">
        <v>382</v>
      </c>
      <c r="AC20" s="186">
        <v>120.001</v>
      </c>
      <c r="AD20" s="187">
        <v>0.5</v>
      </c>
      <c r="AE20" s="188"/>
      <c r="AP20" t="str">
        <f t="shared" si="3"/>
        <v>NSW - Non metro</v>
      </c>
    </row>
    <row r="21" spans="3:42">
      <c r="C21" s="15">
        <f t="shared" ca="1" si="1"/>
        <v>12</v>
      </c>
      <c r="D21" s="155" t="s">
        <v>404</v>
      </c>
      <c r="E21" s="156">
        <f>'Loan Feature Input'!E15</f>
        <v>1000000</v>
      </c>
      <c r="J21" s="157">
        <f t="shared" ca="1" si="2"/>
        <v>12</v>
      </c>
      <c r="K21" s="158" t="s">
        <v>405</v>
      </c>
      <c r="L21" s="180" t="str">
        <f>$E$20</f>
        <v>Investment</v>
      </c>
      <c r="M21" s="182"/>
      <c r="N21" s="182"/>
      <c r="O21" s="182"/>
      <c r="P21" s="160">
        <f ca="1">OFFSET($AD$89,MATCH($L21,OFFSET($AA$90,,,$Z$88,1),0),)</f>
        <v>1.1000000000000001</v>
      </c>
      <c r="Q21" s="158" t="s">
        <v>357</v>
      </c>
      <c r="R21" s="161"/>
      <c r="Y21" s="189"/>
      <c r="Z21" s="190"/>
      <c r="AA21" s="190"/>
      <c r="AB21" s="190"/>
      <c r="AC21" s="190"/>
      <c r="AD21" s="190"/>
      <c r="AE21" s="190"/>
      <c r="AP21" t="str">
        <f t="shared" si="3"/>
        <v>NSW - Metro</v>
      </c>
    </row>
    <row r="22" spans="3:42">
      <c r="C22" s="15">
        <f t="shared" ca="1" si="1"/>
        <v>13</v>
      </c>
      <c r="D22" s="155" t="s">
        <v>406</v>
      </c>
      <c r="E22" s="156">
        <f>'Loan Feature Input'!E16</f>
        <v>-1</v>
      </c>
      <c r="J22" s="157">
        <f t="shared" ca="1" si="2"/>
        <v>13</v>
      </c>
      <c r="K22" s="158" t="s">
        <v>407</v>
      </c>
      <c r="L22" s="180" t="str">
        <f>$E$56</f>
        <v>N/A</v>
      </c>
      <c r="M22" s="180" t="str">
        <f>$E$41</f>
        <v>High Density</v>
      </c>
      <c r="N22" s="180" t="str">
        <f>$E$20</f>
        <v>Investment</v>
      </c>
      <c r="O22" s="180" t="str">
        <f>$E$59</f>
        <v>Metro</v>
      </c>
      <c r="P22" s="160">
        <f ca="1">IF(AND(OFFSET($AD$95,MATCH($L22,OFFSET($AA$96,,,$Z$94,1),0),),$M22="High density")=FALSE,1,SUMPRODUCT((OFFSET($AA$103,,,$Z$101,1)=$N22)*(OFFSET($AB$103,,,$Z$101,1)=$O22)*OFFSET($AD$103,,,$Z$101,1)))</f>
        <v>1.5</v>
      </c>
      <c r="Q22" s="158" t="s">
        <v>357</v>
      </c>
      <c r="R22" s="161"/>
      <c r="W22" s="164">
        <f>W11+1</f>
        <v>2</v>
      </c>
      <c r="X22" s="191" t="s">
        <v>408</v>
      </c>
      <c r="Y22" s="189"/>
      <c r="Z22" s="190"/>
      <c r="AA22" s="190"/>
      <c r="AB22" s="190"/>
      <c r="AC22" s="190"/>
      <c r="AD22" s="190"/>
      <c r="AE22" s="190"/>
      <c r="AP22" t="str">
        <f t="shared" si="3"/>
        <v>NSW - Non metro</v>
      </c>
    </row>
    <row r="23" spans="3:42">
      <c r="C23" s="15">
        <f t="shared" ca="1" si="1"/>
        <v>14</v>
      </c>
      <c r="D23" s="155" t="s">
        <v>409</v>
      </c>
      <c r="E23" s="156">
        <f>'Loan Feature Input'!E17</f>
        <v>0</v>
      </c>
      <c r="J23" s="157">
        <f t="shared" ca="1" si="2"/>
        <v>14</v>
      </c>
      <c r="K23" s="158" t="s">
        <v>410</v>
      </c>
      <c r="L23" s="180" t="str">
        <f>$E$14</f>
        <v>Australian</v>
      </c>
      <c r="M23" s="182"/>
      <c r="N23" s="182"/>
      <c r="O23" s="182"/>
      <c r="P23" s="160">
        <f ca="1">OFFSET($AD$177,MATCH($L23,OFFSET($AA$178,,,$Z$176,1),0),)</f>
        <v>1</v>
      </c>
      <c r="Q23" s="158" t="s">
        <v>357</v>
      </c>
      <c r="R23" s="161"/>
      <c r="Y23" s="169" t="s">
        <v>367</v>
      </c>
      <c r="Z23" s="170">
        <f>COUNTA(Y25:Y30)</f>
        <v>5</v>
      </c>
      <c r="AA23" s="170"/>
      <c r="AB23" s="170"/>
      <c r="AC23" s="170"/>
      <c r="AD23" s="170"/>
      <c r="AE23" s="170"/>
      <c r="AP23" t="str">
        <f t="shared" si="3"/>
        <v>ACT - Metro</v>
      </c>
    </row>
    <row r="24" spans="3:42">
      <c r="C24" s="15">
        <f t="shared" ca="1" si="1"/>
        <v>15</v>
      </c>
      <c r="D24" s="155" t="s">
        <v>411</v>
      </c>
      <c r="E24" s="156" t="str">
        <f>'Loan Feature Input'!E18</f>
        <v>Interest Only</v>
      </c>
      <c r="J24" s="157">
        <f t="shared" ca="1" si="2"/>
        <v>15</v>
      </c>
      <c r="K24" s="158" t="s">
        <v>413</v>
      </c>
      <c r="L24" s="167">
        <f>$E$44</f>
        <v>25</v>
      </c>
      <c r="M24" s="192">
        <f>$E$33</f>
        <v>0</v>
      </c>
      <c r="N24" s="182"/>
      <c r="O24" s="182"/>
      <c r="P24" s="160">
        <f ca="1">IF($L24&lt;=6,OFFSET($AD$184,MATCH($M24,OFFSET($AC$185,,,$Z$183,1),0),),OFFSET($AD$191,MATCH($M24,OFFSET($AC$192,,,$Z$190,1),0),))</f>
        <v>1</v>
      </c>
      <c r="Q24" s="158" t="s">
        <v>357</v>
      </c>
      <c r="R24" s="161"/>
      <c r="Y24" s="171" t="s">
        <v>370</v>
      </c>
      <c r="Z24" s="172" t="s">
        <v>371</v>
      </c>
      <c r="AA24" s="172" t="s">
        <v>372</v>
      </c>
      <c r="AB24" s="172" t="s">
        <v>373</v>
      </c>
      <c r="AC24" s="173" t="s">
        <v>374</v>
      </c>
      <c r="AD24" s="173" t="s">
        <v>375</v>
      </c>
      <c r="AE24" s="174" t="s">
        <v>376</v>
      </c>
      <c r="AP24" t="str">
        <f t="shared" si="3"/>
        <v>NSW - Non metro</v>
      </c>
    </row>
    <row r="25" spans="3:42">
      <c r="C25" s="15">
        <f t="shared" ca="1" si="1"/>
        <v>16</v>
      </c>
      <c r="D25" s="155" t="s">
        <v>414</v>
      </c>
      <c r="E25" s="156">
        <f>'Loan Feature Input'!E19</f>
        <v>0</v>
      </c>
      <c r="J25" s="157">
        <f t="shared" ca="1" si="2"/>
        <v>16</v>
      </c>
      <c r="K25" s="158" t="s">
        <v>415</v>
      </c>
      <c r="L25" s="180" t="str">
        <f>$E$12</f>
        <v>Sub-prime</v>
      </c>
      <c r="M25" s="180">
        <f>$E$52</f>
        <v>0</v>
      </c>
      <c r="N25" s="182"/>
      <c r="O25" s="182"/>
      <c r="P25" s="160">
        <f ca="1">IF(AND(L25&lt;&gt;"Prime",P26=1),LOOKUP($M25,OFFSET($AC$207,,,$Z$205,1),OFFSET($AD$207,,,$Z$205,1)),1)</f>
        <v>1</v>
      </c>
      <c r="Q25" s="158" t="s">
        <v>357</v>
      </c>
      <c r="R25" s="161"/>
      <c r="Y25" s="175" t="s">
        <v>380</v>
      </c>
      <c r="Z25" s="176" t="s">
        <v>408</v>
      </c>
      <c r="AA25" s="176" t="s">
        <v>416</v>
      </c>
      <c r="AB25" s="176" t="s">
        <v>382</v>
      </c>
      <c r="AC25" s="177">
        <v>0</v>
      </c>
      <c r="AD25" s="178">
        <v>1.1000000000000001</v>
      </c>
      <c r="AE25" s="179"/>
      <c r="AP25" t="str">
        <f t="shared" si="3"/>
        <v>NSW - Metro</v>
      </c>
    </row>
    <row r="26" spans="3:42">
      <c r="C26" s="15">
        <f t="shared" ca="1" si="1"/>
        <v>17</v>
      </c>
      <c r="D26" s="155" t="s">
        <v>417</v>
      </c>
      <c r="E26" s="156">
        <f>'Loan Feature Input'!E20</f>
        <v>2000</v>
      </c>
      <c r="J26" s="157">
        <f t="shared" ca="1" si="2"/>
        <v>17</v>
      </c>
      <c r="K26" s="158" t="s">
        <v>418</v>
      </c>
      <c r="L26" s="166">
        <f>$E$53</f>
        <v>0.49863013698630138</v>
      </c>
      <c r="M26" s="167">
        <f>$E$44</f>
        <v>25</v>
      </c>
      <c r="N26" s="180">
        <f>$E$40</f>
        <v>1</v>
      </c>
      <c r="O26" s="182"/>
      <c r="P26" s="160">
        <f ca="1">IF($L26*12+$M26&gt;=60,1,OFFSET($AD$199,MATCH($N26,OFFSET($AC$200,,,$Z$198,1),0),))</f>
        <v>2.5</v>
      </c>
      <c r="Q26" s="158" t="s">
        <v>357</v>
      </c>
      <c r="R26" s="161"/>
      <c r="Y26" s="175" t="s">
        <v>380</v>
      </c>
      <c r="Z26" s="176" t="s">
        <v>408</v>
      </c>
      <c r="AA26" s="176" t="s">
        <v>419</v>
      </c>
      <c r="AB26" s="176" t="s">
        <v>382</v>
      </c>
      <c r="AC26" s="177">
        <v>5.0010000000000003</v>
      </c>
      <c r="AD26" s="178">
        <v>1.25</v>
      </c>
      <c r="AE26" s="179"/>
      <c r="AP26" t="str">
        <f t="shared" si="3"/>
        <v>NSW - Non metro</v>
      </c>
    </row>
    <row r="27" spans="3:42">
      <c r="C27" s="15">
        <f t="shared" ca="1" si="1"/>
        <v>18</v>
      </c>
      <c r="D27" s="155" t="s">
        <v>420</v>
      </c>
      <c r="E27" s="156" t="str">
        <f>'Loan Feature Input'!E21</f>
        <v>NSW Metro</v>
      </c>
      <c r="J27" s="157">
        <f t="shared" ca="1" si="2"/>
        <v>18</v>
      </c>
      <c r="K27" s="158" t="s">
        <v>422</v>
      </c>
      <c r="L27" s="167">
        <f>$E$44</f>
        <v>25</v>
      </c>
      <c r="M27" s="180" t="str">
        <f>$E$47</f>
        <v>No</v>
      </c>
      <c r="N27" s="182"/>
      <c r="O27" s="182"/>
      <c r="P27" s="160">
        <f ca="1">IF($L27&lt;=$AC$216,OFFSET($AD$215,MATCH($M27,OFFSET($AA$216,,,$Z$214,1),0),),1)</f>
        <v>1</v>
      </c>
      <c r="Q27" s="158" t="s">
        <v>357</v>
      </c>
      <c r="R27" s="161"/>
      <c r="Y27" s="175" t="s">
        <v>380</v>
      </c>
      <c r="Z27" s="176" t="s">
        <v>408</v>
      </c>
      <c r="AA27" s="176" t="s">
        <v>423</v>
      </c>
      <c r="AB27" s="176" t="s">
        <v>382</v>
      </c>
      <c r="AC27" s="177">
        <v>10.000999999999999</v>
      </c>
      <c r="AD27" s="178">
        <v>1.5</v>
      </c>
      <c r="AE27" s="179"/>
      <c r="AP27" t="str">
        <f t="shared" si="3"/>
        <v>ACT - Metro</v>
      </c>
    </row>
    <row r="28" spans="3:42">
      <c r="C28" s="15">
        <f t="shared" ca="1" si="1"/>
        <v>19</v>
      </c>
      <c r="D28" s="155" t="s">
        <v>424</v>
      </c>
      <c r="E28" s="156">
        <f>'Loan Feature Input'!E22</f>
        <v>1428571.4285714286</v>
      </c>
      <c r="J28" s="157">
        <f t="shared" ca="1" si="2"/>
        <v>19</v>
      </c>
      <c r="K28" s="158" t="s">
        <v>425</v>
      </c>
      <c r="L28" s="182"/>
      <c r="M28" s="182"/>
      <c r="N28" s="182"/>
      <c r="O28" s="182"/>
      <c r="P28" s="183">
        <v>1</v>
      </c>
      <c r="Q28" s="158" t="s">
        <v>357</v>
      </c>
      <c r="R28" s="161"/>
      <c r="Y28" s="175" t="s">
        <v>380</v>
      </c>
      <c r="Z28" s="176" t="s">
        <v>408</v>
      </c>
      <c r="AA28" s="176" t="s">
        <v>426</v>
      </c>
      <c r="AB28" s="176" t="s">
        <v>382</v>
      </c>
      <c r="AC28" s="177">
        <v>15.000999999999999</v>
      </c>
      <c r="AD28" s="178">
        <v>1.75</v>
      </c>
      <c r="AE28" s="179"/>
      <c r="AP28" t="str">
        <f t="shared" si="3"/>
        <v>NSW - Non metro</v>
      </c>
    </row>
    <row r="29" spans="3:42">
      <c r="C29" s="15">
        <f t="shared" ca="1" si="1"/>
        <v>20</v>
      </c>
      <c r="D29" s="155" t="s">
        <v>427</v>
      </c>
      <c r="E29" s="156">
        <f>'Loan Feature Input'!E23</f>
        <v>43220</v>
      </c>
      <c r="J29" s="157">
        <f t="shared" ca="1" si="2"/>
        <v>20</v>
      </c>
      <c r="K29" s="158" t="s">
        <v>428</v>
      </c>
      <c r="L29" s="180" t="str">
        <f>$E$35</f>
        <v>PAYE/Full Time</v>
      </c>
      <c r="M29" s="180" t="str">
        <f>$E$17</f>
        <v>Full Doc</v>
      </c>
      <c r="N29" s="167">
        <f>$E$43*12+$E$44</f>
        <v>25</v>
      </c>
      <c r="O29" s="182"/>
      <c r="P29" s="160">
        <f ca="1">IF($L29&lt;&gt;"Self Employed",OFFSET($AD$243,MATCH($L29,OFFSET($AA$244,,,$Z$242,1),0),),IF($M29="No Doc",LOOKUP($N29,OFFSET($AC$223,,,$Z$221,1),OFFSET($AD$223,,,$Z$221,1)),LOOKUP($N29,OFFSET($AC$233,,,$Z$231,1),OFFSET($AD$233,,,$Z$231,1))))</f>
        <v>1</v>
      </c>
      <c r="Q29" s="158" t="s">
        <v>357</v>
      </c>
      <c r="R29" s="161"/>
      <c r="Y29" s="175" t="s">
        <v>380</v>
      </c>
      <c r="Z29" s="176" t="s">
        <v>408</v>
      </c>
      <c r="AA29" s="176" t="s">
        <v>429</v>
      </c>
      <c r="AB29" s="176" t="s">
        <v>382</v>
      </c>
      <c r="AC29" s="177">
        <v>20.001000000000001</v>
      </c>
      <c r="AD29" s="178">
        <v>2</v>
      </c>
      <c r="AE29" s="179"/>
      <c r="AP29" t="str">
        <f t="shared" si="3"/>
        <v>VIC - Inner city</v>
      </c>
    </row>
    <row r="30" spans="3:42">
      <c r="C30" s="15">
        <f t="shared" ca="1" si="1"/>
        <v>21</v>
      </c>
      <c r="D30" s="155" t="s">
        <v>430</v>
      </c>
      <c r="E30" s="156">
        <f>'Loan Feature Input'!E24</f>
        <v>54178</v>
      </c>
      <c r="J30" s="157">
        <f t="shared" ca="1" si="2"/>
        <v>21</v>
      </c>
      <c r="K30" s="158" t="s">
        <v>431</v>
      </c>
      <c r="L30" s="180" t="str">
        <f>$E$48</f>
        <v>No</v>
      </c>
      <c r="M30" s="180" t="str">
        <f>$E$49</f>
        <v>No</v>
      </c>
      <c r="N30" s="182"/>
      <c r="O30" s="182"/>
      <c r="P30" s="160">
        <f ca="1">SUMPRODUCT((OFFSET($AA$256,,,$Z$254,1)=$L30)*(OFFSET($AB$256,,,$Z$254,1)=$M30)*OFFSET($AD$256,,,$Z$254,1))</f>
        <v>1</v>
      </c>
      <c r="Q30" s="158" t="s">
        <v>357</v>
      </c>
      <c r="R30" s="161"/>
      <c r="Y30" s="189"/>
      <c r="Z30" s="190"/>
      <c r="AA30" s="190"/>
      <c r="AB30" s="190"/>
      <c r="AC30" s="190"/>
      <c r="AD30" s="190"/>
      <c r="AE30" s="190"/>
      <c r="AP30" t="str">
        <f t="shared" si="3"/>
        <v>VIC - Metro</v>
      </c>
    </row>
    <row r="31" spans="3:42" ht="16" thickBot="1">
      <c r="C31" s="15">
        <f t="shared" ca="1" si="1"/>
        <v>22</v>
      </c>
      <c r="D31" s="155" t="s">
        <v>432</v>
      </c>
      <c r="E31" s="156">
        <f>'Loan Feature Input'!E25</f>
        <v>-1</v>
      </c>
      <c r="J31" s="193">
        <f t="shared" ca="1" si="2"/>
        <v>22</v>
      </c>
      <c r="K31" s="194" t="s">
        <v>433</v>
      </c>
      <c r="L31" s="195" t="str">
        <f>$E$39</f>
        <v>Purchase New</v>
      </c>
      <c r="M31" s="195" t="str">
        <f>$E$12</f>
        <v>Sub-prime</v>
      </c>
      <c r="N31" s="196"/>
      <c r="O31" s="196"/>
      <c r="P31" s="197">
        <f ca="1">SUMPRODUCT((OFFSET($AA$265,,,$Z$263,1)=$L31)*(OFFSET($AB$265,,,$Z$263,1)=$M31)*OFFSET($AD$265,,,$Z$263,1))</f>
        <v>1</v>
      </c>
      <c r="Q31" s="194" t="s">
        <v>357</v>
      </c>
      <c r="R31" s="198"/>
      <c r="W31" s="164">
        <f>W22+1</f>
        <v>3</v>
      </c>
      <c r="X31" s="199" t="s">
        <v>434</v>
      </c>
      <c r="Y31" s="189"/>
      <c r="Z31" s="190"/>
      <c r="AA31" s="190"/>
      <c r="AB31" s="190"/>
      <c r="AC31" s="190"/>
      <c r="AD31" s="190"/>
      <c r="AE31" s="190"/>
      <c r="AP31" t="str">
        <f t="shared" si="3"/>
        <v>VIC - Non metro</v>
      </c>
    </row>
    <row r="32" spans="3:42">
      <c r="C32" s="15">
        <f t="shared" ca="1" si="1"/>
        <v>23</v>
      </c>
      <c r="D32" s="155" t="s">
        <v>435</v>
      </c>
      <c r="E32" s="156">
        <f>'Loan Feature Input'!E26</f>
        <v>3</v>
      </c>
      <c r="J32" s="200">
        <f t="shared" ca="1" si="2"/>
        <v>23</v>
      </c>
      <c r="K32" s="201" t="s">
        <v>436</v>
      </c>
      <c r="L32" s="202">
        <f>$E$28</f>
        <v>1428571.4285714286</v>
      </c>
      <c r="M32" s="203"/>
      <c r="N32" s="203"/>
      <c r="O32" s="203"/>
      <c r="P32" s="204">
        <f ca="1">LOOKUP($L32,OFFSET($AC$291,,,$Z$289,1),OFFSET($AE$291,,,$Z$289,1))</f>
        <v>1.2</v>
      </c>
      <c r="Q32" s="201" t="s">
        <v>437</v>
      </c>
      <c r="R32" s="205"/>
      <c r="Y32" s="169" t="s">
        <v>367</v>
      </c>
      <c r="Z32" s="170">
        <f>COUNTA(Y34:Y39)</f>
        <v>5</v>
      </c>
      <c r="AA32" s="170"/>
      <c r="AB32" s="170"/>
      <c r="AC32" s="170"/>
      <c r="AD32" s="170"/>
      <c r="AE32" s="170"/>
      <c r="AP32" t="str">
        <f t="shared" si="3"/>
        <v>VIC - Metro</v>
      </c>
    </row>
    <row r="33" spans="3:42">
      <c r="C33" s="15">
        <f t="shared" ca="1" si="1"/>
        <v>24</v>
      </c>
      <c r="D33" s="155" t="s">
        <v>438</v>
      </c>
      <c r="E33" s="156">
        <f>'Loan Feature Input'!E27</f>
        <v>0</v>
      </c>
      <c r="J33" s="157">
        <f t="shared" ca="1" si="2"/>
        <v>24</v>
      </c>
      <c r="K33" s="158" t="s">
        <v>439</v>
      </c>
      <c r="L33" s="180" t="str">
        <f>$E$41</f>
        <v>High Density</v>
      </c>
      <c r="M33" s="180" t="str">
        <f>$E$59</f>
        <v>Metro</v>
      </c>
      <c r="N33" s="182"/>
      <c r="O33" s="182"/>
      <c r="P33" s="160">
        <f ca="1">IF($L33&lt;&gt;"High Density",1,OFFSET($AE$300,MATCH($M33,OFFSET($AA$301,,,$Z$299,1),0),))</f>
        <v>1</v>
      </c>
      <c r="Q33" s="158" t="s">
        <v>437</v>
      </c>
      <c r="R33" s="161"/>
      <c r="Y33" s="171" t="s">
        <v>370</v>
      </c>
      <c r="Z33" s="172" t="s">
        <v>371</v>
      </c>
      <c r="AA33" s="172" t="s">
        <v>372</v>
      </c>
      <c r="AB33" s="172" t="s">
        <v>373</v>
      </c>
      <c r="AC33" s="173" t="s">
        <v>440</v>
      </c>
      <c r="AD33" s="173" t="s">
        <v>375</v>
      </c>
      <c r="AE33" s="174" t="s">
        <v>376</v>
      </c>
      <c r="AP33" t="str">
        <f t="shared" si="3"/>
        <v>VIC - Non metro</v>
      </c>
    </row>
    <row r="34" spans="3:42" ht="16" thickBot="1">
      <c r="C34" s="15">
        <f t="shared" ca="1" si="1"/>
        <v>25</v>
      </c>
      <c r="D34" s="155" t="s">
        <v>441</v>
      </c>
      <c r="E34" s="156">
        <f>'Loan Feature Input'!E28</f>
        <v>1000000</v>
      </c>
      <c r="J34" s="193">
        <f t="shared" ca="1" si="2"/>
        <v>25</v>
      </c>
      <c r="K34" s="194" t="s">
        <v>442</v>
      </c>
      <c r="L34" s="195" t="str">
        <f>$E$39</f>
        <v>Purchase New</v>
      </c>
      <c r="M34" s="195" t="str">
        <f>$E$12</f>
        <v>Sub-prime</v>
      </c>
      <c r="N34" s="196"/>
      <c r="O34" s="196"/>
      <c r="P34" s="197">
        <f ca="1">SUMPRODUCT((OFFSET($AA$265,,,$Z$263,1)=$L31)*(OFFSET($AB$265,,,$Z$263,1)=$M31)*OFFSET($AE$265,,,$Z$263,1))</f>
        <v>1</v>
      </c>
      <c r="Q34" s="194" t="s">
        <v>437</v>
      </c>
      <c r="R34" s="198"/>
      <c r="Y34" s="175" t="s">
        <v>380</v>
      </c>
      <c r="Z34" s="176" t="s">
        <v>434</v>
      </c>
      <c r="AA34" s="176" t="s">
        <v>443</v>
      </c>
      <c r="AB34" s="176" t="s">
        <v>382</v>
      </c>
      <c r="AC34" s="177">
        <v>0</v>
      </c>
      <c r="AD34" s="178">
        <v>1.75</v>
      </c>
      <c r="AE34" s="179"/>
      <c r="AP34" t="str">
        <f t="shared" si="3"/>
        <v>VIC - Metro</v>
      </c>
    </row>
    <row r="35" spans="3:42">
      <c r="C35" s="15">
        <f t="shared" ca="1" si="1"/>
        <v>26</v>
      </c>
      <c r="D35" s="155" t="s">
        <v>444</v>
      </c>
      <c r="E35" s="156" t="str">
        <f>'Loan Feature Input'!E29</f>
        <v>PAYE/Full Time</v>
      </c>
      <c r="J35" s="200">
        <f t="shared" ca="1" si="2"/>
        <v>26</v>
      </c>
      <c r="K35" s="201" t="s">
        <v>446</v>
      </c>
      <c r="L35" s="202" t="str">
        <f>IF($E$28&gt;$AC$314,$AB314,IF(OR($E$39="Construction",$E$41="Vacant Land"),$AB$317,$AB$320))</f>
        <v>Large Property</v>
      </c>
      <c r="M35" s="202" t="str">
        <f>$E$59</f>
        <v>Metro</v>
      </c>
      <c r="N35" s="203"/>
      <c r="O35" s="203"/>
      <c r="P35" s="206">
        <f ca="1">SUMPRODUCT((OFFSET($AB$314,,,$Z$312,1)=$L35)*(OFFSET($AA$314,,,$Z$312,1)=$M35)*OFFSET($AE$314,,,$Z$312,1))</f>
        <v>18</v>
      </c>
      <c r="Q35" s="201" t="s">
        <v>447</v>
      </c>
      <c r="R35" s="205"/>
      <c r="Y35" s="175" t="s">
        <v>380</v>
      </c>
      <c r="Z35" s="176" t="s">
        <v>434</v>
      </c>
      <c r="AA35" s="176" t="s">
        <v>448</v>
      </c>
      <c r="AB35" s="176" t="s">
        <v>382</v>
      </c>
      <c r="AC35" s="177">
        <v>3</v>
      </c>
      <c r="AD35" s="178">
        <v>1.5</v>
      </c>
      <c r="AE35" s="179"/>
      <c r="AP35" t="str">
        <f t="shared" si="3"/>
        <v>VIC - Non metro</v>
      </c>
    </row>
    <row r="36" spans="3:42">
      <c r="C36" s="15">
        <f t="shared" ca="1" si="1"/>
        <v>27</v>
      </c>
      <c r="D36" s="155" t="s">
        <v>449</v>
      </c>
      <c r="E36" s="156" t="str">
        <f>'Loan Feature Input'!E30</f>
        <v>Australia</v>
      </c>
      <c r="J36" s="157">
        <f t="shared" ca="1" si="2"/>
        <v>27</v>
      </c>
      <c r="K36" s="158" t="s">
        <v>450</v>
      </c>
      <c r="L36" s="182"/>
      <c r="M36" s="182"/>
      <c r="N36" s="182"/>
      <c r="O36" s="182"/>
      <c r="P36" s="207">
        <f>$AE$309</f>
        <v>5000</v>
      </c>
      <c r="Q36" s="158" t="s">
        <v>447</v>
      </c>
      <c r="R36" s="161"/>
      <c r="Y36" s="175" t="s">
        <v>380</v>
      </c>
      <c r="Z36" s="176" t="s">
        <v>434</v>
      </c>
      <c r="AA36" s="176" t="s">
        <v>451</v>
      </c>
      <c r="AB36" s="176" t="s">
        <v>382</v>
      </c>
      <c r="AC36" s="177">
        <v>5</v>
      </c>
      <c r="AD36" s="178">
        <v>1.25</v>
      </c>
      <c r="AE36" s="179"/>
      <c r="AP36" t="str">
        <f t="shared" si="3"/>
        <v>VIC - Metro</v>
      </c>
    </row>
    <row r="37" spans="3:42" ht="16" thickBot="1">
      <c r="C37" s="15">
        <f t="shared" ca="1" si="1"/>
        <v>28</v>
      </c>
      <c r="D37" s="155" t="s">
        <v>402</v>
      </c>
      <c r="E37" s="156" t="str">
        <f>'Loan Feature Input'!E31</f>
        <v>No</v>
      </c>
      <c r="J37" s="208">
        <f t="shared" ca="1" si="2"/>
        <v>28</v>
      </c>
      <c r="K37" s="209" t="s">
        <v>452</v>
      </c>
      <c r="L37" s="210"/>
      <c r="M37" s="210"/>
      <c r="N37" s="210"/>
      <c r="O37" s="210"/>
      <c r="P37" s="211">
        <f>$AE$308</f>
        <v>0.05</v>
      </c>
      <c r="Q37" s="209" t="s">
        <v>447</v>
      </c>
      <c r="R37" s="212"/>
      <c r="Y37" s="175" t="s">
        <v>380</v>
      </c>
      <c r="Z37" s="176" t="s">
        <v>434</v>
      </c>
      <c r="AA37" s="176" t="s">
        <v>453</v>
      </c>
      <c r="AB37" s="176" t="s">
        <v>382</v>
      </c>
      <c r="AC37" s="177">
        <v>10</v>
      </c>
      <c r="AD37" s="178">
        <v>1.1000000000000001</v>
      </c>
      <c r="AE37" s="179"/>
      <c r="AP37" t="str">
        <f t="shared" si="3"/>
        <v>VIC - Non metro</v>
      </c>
    </row>
    <row r="38" spans="3:42">
      <c r="C38" s="15">
        <f t="shared" ca="1" si="1"/>
        <v>29</v>
      </c>
      <c r="D38" s="155" t="s">
        <v>454</v>
      </c>
      <c r="E38" s="156" t="str">
        <f>'Loan Feature Input'!E32</f>
        <v>N/A</v>
      </c>
      <c r="J38" s="213">
        <f t="shared" ca="1" si="2"/>
        <v>29</v>
      </c>
      <c r="K38" s="214" t="s">
        <v>456</v>
      </c>
      <c r="L38" s="215"/>
      <c r="M38" s="215"/>
      <c r="N38" s="215"/>
      <c r="O38" s="215"/>
      <c r="P38" s="216">
        <f ca="1">PRODUCT(P10:P31)</f>
        <v>5.0656896712905484</v>
      </c>
      <c r="Q38" s="214" t="s">
        <v>357</v>
      </c>
      <c r="R38" s="217"/>
      <c r="Y38" s="175" t="s">
        <v>380</v>
      </c>
      <c r="Z38" s="176" t="s">
        <v>434</v>
      </c>
      <c r="AA38" s="176" t="s">
        <v>457</v>
      </c>
      <c r="AB38" s="176" t="s">
        <v>382</v>
      </c>
      <c r="AC38" s="177">
        <v>15</v>
      </c>
      <c r="AD38" s="178">
        <v>1</v>
      </c>
      <c r="AE38" s="179"/>
      <c r="AP38" t="str">
        <f t="shared" si="3"/>
        <v>VIC - Metro</v>
      </c>
    </row>
    <row r="39" spans="3:42">
      <c r="C39" s="15">
        <f t="shared" ca="1" si="1"/>
        <v>30</v>
      </c>
      <c r="D39" s="155" t="s">
        <v>433</v>
      </c>
      <c r="E39" s="156" t="str">
        <f>'Loan Feature Input'!E33</f>
        <v>Purchase New</v>
      </c>
      <c r="J39" s="157">
        <f t="shared" ca="1" si="2"/>
        <v>30</v>
      </c>
      <c r="K39" s="158" t="s">
        <v>459</v>
      </c>
      <c r="L39" s="182"/>
      <c r="M39" s="182"/>
      <c r="N39" s="182"/>
      <c r="O39" s="182"/>
      <c r="P39" s="160">
        <f ca="1">PRODUCT(P32:P34)</f>
        <v>1.2</v>
      </c>
      <c r="Q39" s="158" t="s">
        <v>437</v>
      </c>
      <c r="R39" s="161"/>
      <c r="Y39" s="189"/>
      <c r="Z39" s="190"/>
      <c r="AA39" s="190"/>
      <c r="AB39" s="190"/>
      <c r="AC39" s="190"/>
      <c r="AD39" s="190"/>
      <c r="AE39" s="190"/>
      <c r="AP39" t="str">
        <f t="shared" si="3"/>
        <v>VIC - Non metro</v>
      </c>
    </row>
    <row r="40" spans="3:42">
      <c r="C40" s="15">
        <f t="shared" ca="1" si="1"/>
        <v>31</v>
      </c>
      <c r="D40" s="155" t="s">
        <v>460</v>
      </c>
      <c r="E40" s="156">
        <f>'Loan Feature Input'!E34</f>
        <v>1</v>
      </c>
      <c r="L40" s="15"/>
      <c r="M40" s="15"/>
      <c r="N40" s="15"/>
      <c r="O40" s="15"/>
      <c r="P40" s="15"/>
      <c r="R40" s="218"/>
      <c r="W40" s="164">
        <f>W31+1</f>
        <v>4</v>
      </c>
      <c r="X40" s="199" t="s">
        <v>461</v>
      </c>
      <c r="Y40" s="189"/>
      <c r="Z40" s="190"/>
      <c r="AA40" s="190"/>
      <c r="AB40" s="190"/>
      <c r="AC40" s="190"/>
      <c r="AD40" s="190"/>
      <c r="AE40" s="190"/>
      <c r="AP40" t="str">
        <f t="shared" si="3"/>
        <v>VIC - Metro</v>
      </c>
    </row>
    <row r="41" spans="3:42">
      <c r="C41" s="15">
        <f t="shared" ca="1" si="1"/>
        <v>32</v>
      </c>
      <c r="D41" s="155" t="s">
        <v>462</v>
      </c>
      <c r="E41" s="156" t="str">
        <f>'Loan Feature Input'!E35</f>
        <v>High Density</v>
      </c>
      <c r="K41" t="s">
        <v>464</v>
      </c>
      <c r="P41" s="15" t="s">
        <v>465</v>
      </c>
      <c r="Y41" s="169" t="s">
        <v>367</v>
      </c>
      <c r="Z41" s="170">
        <f>COUNTA(Y43:Y47)</f>
        <v>4</v>
      </c>
      <c r="AA41" s="219"/>
      <c r="AB41" s="219"/>
      <c r="AC41" s="219"/>
      <c r="AD41" s="219"/>
      <c r="AE41" s="219"/>
      <c r="AP41" t="str">
        <f t="shared" si="3"/>
        <v>VIC - Non metro</v>
      </c>
    </row>
    <row r="42" spans="3:42">
      <c r="C42" s="15">
        <f t="shared" ca="1" si="1"/>
        <v>33</v>
      </c>
      <c r="D42" s="155" t="s">
        <v>466</v>
      </c>
      <c r="E42" s="156">
        <f>'Loan Feature Input'!E36</f>
        <v>0.7</v>
      </c>
      <c r="K42" s="220" t="s">
        <v>467</v>
      </c>
      <c r="L42" s="221">
        <f>$E$44</f>
        <v>25</v>
      </c>
      <c r="M42" s="222">
        <f>$E$33</f>
        <v>0</v>
      </c>
      <c r="O42" s="3">
        <f ca="1">OFFSET($AC$327,MATCH($P41,OFFSET($AB$328,,,$Z$326,1),0),)</f>
        <v>0.1</v>
      </c>
      <c r="P42" s="223">
        <f ca="1">MIN(1,MAX(O42*P38,SUMPRODUCT((OFFSET($AA$348,,,$Z$346,1)&gt;=$L42)*(OFFSET($AC$348,,,$Z$346,1)&gt;=$M42)*OFFSET($AE$348,,,$Z$346,1))))</f>
        <v>0.50656896712905486</v>
      </c>
      <c r="Y42" s="171" t="s">
        <v>370</v>
      </c>
      <c r="Z42" s="172" t="s">
        <v>371</v>
      </c>
      <c r="AA42" s="172" t="s">
        <v>372</v>
      </c>
      <c r="AB42" s="172" t="s">
        <v>373</v>
      </c>
      <c r="AC42" s="173" t="s">
        <v>440</v>
      </c>
      <c r="AD42" s="173" t="s">
        <v>375</v>
      </c>
      <c r="AE42" s="174" t="s">
        <v>376</v>
      </c>
      <c r="AP42" t="str">
        <f t="shared" si="3"/>
        <v>VIC - Metro</v>
      </c>
    </row>
    <row r="43" spans="3:42">
      <c r="C43" s="15">
        <f t="shared" ca="1" si="1"/>
        <v>34</v>
      </c>
      <c r="D43" s="155" t="s">
        <v>468</v>
      </c>
      <c r="E43" s="156">
        <f>'Loan Feature Input'!E37</f>
        <v>0</v>
      </c>
      <c r="K43" s="220" t="s">
        <v>437</v>
      </c>
      <c r="O43" s="3">
        <f ca="1">OFFSET($AE$327,MATCH($P41,OFFSET($AB$328,,,$Z$326,1),0),)</f>
        <v>0.45</v>
      </c>
      <c r="P43" s="223">
        <f ca="1">O43*P39</f>
        <v>0.54</v>
      </c>
      <c r="Y43" s="175" t="s">
        <v>380</v>
      </c>
      <c r="Z43" s="176" t="s">
        <v>461</v>
      </c>
      <c r="AA43" s="176" t="s">
        <v>469</v>
      </c>
      <c r="AB43" s="176" t="s">
        <v>382</v>
      </c>
      <c r="AC43" s="177">
        <v>0</v>
      </c>
      <c r="AD43" s="178">
        <v>0.4</v>
      </c>
      <c r="AE43" s="179"/>
      <c r="AP43" t="str">
        <f t="shared" si="3"/>
        <v>VIC - Non metro</v>
      </c>
    </row>
    <row r="44" spans="3:42">
      <c r="C44" s="15">
        <f t="shared" ca="1" si="1"/>
        <v>35</v>
      </c>
      <c r="D44" s="155" t="s">
        <v>363</v>
      </c>
      <c r="E44" s="156">
        <f>'Loan Feature Input'!E38</f>
        <v>25</v>
      </c>
      <c r="K44" s="220" t="s">
        <v>470</v>
      </c>
      <c r="L44" s="224">
        <f>$E$28</f>
        <v>1428571.4285714286</v>
      </c>
      <c r="M44" s="224">
        <f>$E$15</f>
        <v>1000000</v>
      </c>
      <c r="N44" s="225">
        <f ca="1">OFFSET($AD$327,MATCH($P41,OFFSET($AB$328,,,$Z$326,1),0),)</f>
        <v>0.05</v>
      </c>
      <c r="O44" s="226"/>
      <c r="P44" s="226">
        <f ca="1">($L44*(1-P43)-$M44)-(M44*$N44*P$35/12)-(P$36+P$37*$L44*(1-P43))</f>
        <v>-455714.28571428568</v>
      </c>
      <c r="Y44" s="175" t="s">
        <v>380</v>
      </c>
      <c r="Z44" s="176" t="s">
        <v>461</v>
      </c>
      <c r="AA44" s="176" t="s">
        <v>471</v>
      </c>
      <c r="AB44" s="176" t="s">
        <v>382</v>
      </c>
      <c r="AC44" s="177">
        <v>15.000999999999999</v>
      </c>
      <c r="AD44" s="178">
        <v>0.7</v>
      </c>
      <c r="AE44" s="179"/>
      <c r="AP44" t="str">
        <f t="shared" si="3"/>
        <v>VIC - Metro</v>
      </c>
    </row>
    <row r="45" spans="3:42">
      <c r="C45" s="15">
        <f t="shared" ca="1" si="1"/>
        <v>36</v>
      </c>
      <c r="D45" s="155" t="s">
        <v>472</v>
      </c>
      <c r="E45" s="156">
        <f>'Loan Feature Input'!E39</f>
        <v>27</v>
      </c>
      <c r="K45" s="220" t="s">
        <v>473</v>
      </c>
      <c r="P45" s="3">
        <f ca="1">-P44/M44</f>
        <v>0.45571428571428568</v>
      </c>
      <c r="Y45" s="175" t="s">
        <v>380</v>
      </c>
      <c r="Z45" s="176" t="s">
        <v>461</v>
      </c>
      <c r="AA45" s="176" t="s">
        <v>471</v>
      </c>
      <c r="AB45" s="176" t="s">
        <v>382</v>
      </c>
      <c r="AC45" s="177">
        <v>15.000999999999999</v>
      </c>
      <c r="AD45" s="178">
        <v>0.7</v>
      </c>
      <c r="AE45" s="179"/>
      <c r="AP45" t="str">
        <f t="shared" si="3"/>
        <v>VIC - Non metro</v>
      </c>
    </row>
    <row r="46" spans="3:42">
      <c r="C46" s="15">
        <f t="shared" ca="1" si="1"/>
        <v>37</v>
      </c>
      <c r="D46" s="155" t="s">
        <v>474</v>
      </c>
      <c r="E46" s="156">
        <f>'Loan Feature Input'!E40</f>
        <v>9.69E-2</v>
      </c>
      <c r="K46" s="227" t="s">
        <v>475</v>
      </c>
      <c r="L46" s="227"/>
      <c r="M46" s="227"/>
      <c r="N46" s="227"/>
      <c r="O46" s="227"/>
      <c r="P46" s="228">
        <f ca="1">P45*P42</f>
        <v>0.23085071502024071</v>
      </c>
      <c r="Y46" s="175" t="s">
        <v>380</v>
      </c>
      <c r="Z46" s="176" t="s">
        <v>461</v>
      </c>
      <c r="AA46" s="176" t="s">
        <v>471</v>
      </c>
      <c r="AB46" s="176" t="s">
        <v>382</v>
      </c>
      <c r="AC46" s="177">
        <v>15.000999999999999</v>
      </c>
      <c r="AD46" s="178">
        <v>0.7</v>
      </c>
      <c r="AE46" s="179"/>
      <c r="AP46" t="str">
        <f t="shared" si="3"/>
        <v>QLD - Inner city</v>
      </c>
    </row>
    <row r="47" spans="3:42">
      <c r="C47" s="15">
        <f t="shared" ca="1" si="1"/>
        <v>38</v>
      </c>
      <c r="D47" s="155" t="s">
        <v>422</v>
      </c>
      <c r="E47" s="156" t="str">
        <f>'Loan Feature Input'!E41</f>
        <v>No</v>
      </c>
      <c r="Y47" s="190"/>
      <c r="Z47" s="190"/>
      <c r="AA47" s="190"/>
      <c r="AB47" s="190"/>
      <c r="AC47" s="190"/>
      <c r="AD47" s="190"/>
      <c r="AE47" s="190"/>
      <c r="AP47" t="str">
        <f t="shared" si="3"/>
        <v>QLD - Metro</v>
      </c>
    </row>
    <row r="48" spans="3:42">
      <c r="C48" s="15">
        <f t="shared" ca="1" si="1"/>
        <v>39</v>
      </c>
      <c r="D48" s="155" t="s">
        <v>476</v>
      </c>
      <c r="E48" s="156" t="str">
        <f>'Loan Feature Input'!E42</f>
        <v>No</v>
      </c>
      <c r="W48" s="164">
        <f>W40+1</f>
        <v>5</v>
      </c>
      <c r="X48" s="229" t="s">
        <v>391</v>
      </c>
      <c r="Y48" s="190"/>
      <c r="Z48" s="219"/>
      <c r="AA48" s="219"/>
      <c r="AB48" s="219"/>
      <c r="AC48" s="219"/>
      <c r="AD48" s="219"/>
      <c r="AE48" s="219"/>
      <c r="AP48" t="str">
        <f t="shared" si="3"/>
        <v>QLD - Non metro</v>
      </c>
    </row>
    <row r="49" spans="3:42">
      <c r="C49" s="15">
        <f ca="1">OFFSET(C49,-1,)+1</f>
        <v>40</v>
      </c>
      <c r="D49" s="155" t="s">
        <v>477</v>
      </c>
      <c r="E49" s="156" t="str">
        <f>'Loan Feature Input'!E43</f>
        <v>No</v>
      </c>
      <c r="Y49" s="169" t="s">
        <v>367</v>
      </c>
      <c r="Z49" s="170">
        <f>COUNTA(Y51:Y54)</f>
        <v>2</v>
      </c>
      <c r="AA49" s="190"/>
      <c r="AB49" s="190"/>
      <c r="AC49" s="190"/>
      <c r="AD49" s="190"/>
      <c r="AE49" s="190"/>
      <c r="AP49" t="str">
        <f t="shared" si="3"/>
        <v>QLD - Metro</v>
      </c>
    </row>
    <row r="50" spans="3:42">
      <c r="C50" s="15">
        <f t="shared" ca="1" si="1"/>
        <v>41</v>
      </c>
      <c r="D50" s="155" t="s">
        <v>478</v>
      </c>
      <c r="E50" s="156">
        <f>'Loan Feature Input'!E44</f>
        <v>-1</v>
      </c>
      <c r="Y50" s="171" t="s">
        <v>370</v>
      </c>
      <c r="Z50" s="172" t="s">
        <v>371</v>
      </c>
      <c r="AA50" s="172" t="s">
        <v>372</v>
      </c>
      <c r="AB50" s="172" t="s">
        <v>373</v>
      </c>
      <c r="AC50" s="173" t="s">
        <v>440</v>
      </c>
      <c r="AD50" s="173" t="s">
        <v>375</v>
      </c>
      <c r="AE50" s="174" t="s">
        <v>376</v>
      </c>
      <c r="AP50" t="str">
        <f>CONCATENATE(Z153," - ",AA153)</f>
        <v>QLD - Non metro</v>
      </c>
    </row>
    <row r="51" spans="3:42">
      <c r="C51" s="15">
        <f t="shared" ca="1" si="1"/>
        <v>42</v>
      </c>
      <c r="D51" s="155" t="s">
        <v>479</v>
      </c>
      <c r="E51" s="156">
        <f>'Loan Feature Input'!E45</f>
        <v>2</v>
      </c>
      <c r="Y51" s="175" t="s">
        <v>380</v>
      </c>
      <c r="Z51" s="176" t="s">
        <v>391</v>
      </c>
      <c r="AA51" s="176" t="s">
        <v>36</v>
      </c>
      <c r="AB51" s="176"/>
      <c r="AC51" s="177"/>
      <c r="AD51" s="178">
        <v>1.05</v>
      </c>
      <c r="AE51" s="179"/>
      <c r="AP51" t="str">
        <f t="shared" si="3"/>
        <v>SA - Inner city</v>
      </c>
    </row>
    <row r="52" spans="3:42">
      <c r="C52" s="15">
        <f t="shared" ca="1" si="1"/>
        <v>43</v>
      </c>
      <c r="D52" s="155" t="s">
        <v>480</v>
      </c>
      <c r="E52" s="156">
        <f>'Loan Feature Input'!E46</f>
        <v>0</v>
      </c>
      <c r="Y52" s="175" t="s">
        <v>380</v>
      </c>
      <c r="Z52" s="176" t="s">
        <v>391</v>
      </c>
      <c r="AA52" s="176" t="s">
        <v>35</v>
      </c>
      <c r="AB52" s="176"/>
      <c r="AC52" s="177"/>
      <c r="AD52" s="178">
        <v>1</v>
      </c>
      <c r="AE52" s="179"/>
      <c r="AP52" t="str">
        <f t="shared" si="3"/>
        <v>SA - Metro</v>
      </c>
    </row>
    <row r="53" spans="3:42">
      <c r="C53" s="15">
        <f t="shared" ca="1" si="1"/>
        <v>44</v>
      </c>
      <c r="D53" s="155" t="s">
        <v>481</v>
      </c>
      <c r="E53" s="156">
        <f>'Loan Feature Input'!E47</f>
        <v>0.49863013698630138</v>
      </c>
      <c r="AP53" t="str">
        <f t="shared" si="3"/>
        <v>SA - Non metro</v>
      </c>
    </row>
    <row r="54" spans="3:42">
      <c r="C54" s="15">
        <f t="shared" ca="1" si="1"/>
        <v>45</v>
      </c>
      <c r="D54" s="155" t="s">
        <v>482</v>
      </c>
      <c r="E54" s="156" t="str">
        <f>'Loan Feature Input'!E48</f>
        <v>No</v>
      </c>
      <c r="W54" s="164">
        <f>W48+1</f>
        <v>6</v>
      </c>
      <c r="X54" s="164" t="s">
        <v>483</v>
      </c>
      <c r="AP54" t="str">
        <f>CONCATENATE(Z157," - ",AA157)</f>
        <v>SA - Metro</v>
      </c>
    </row>
    <row r="55" spans="3:42">
      <c r="C55" s="15">
        <f t="shared" ca="1" si="1"/>
        <v>46</v>
      </c>
      <c r="D55" s="155" t="s">
        <v>391</v>
      </c>
      <c r="E55" s="156" t="str">
        <f>'Loan Feature Input'!E49</f>
        <v>No</v>
      </c>
      <c r="Y55" s="169" t="s">
        <v>367</v>
      </c>
      <c r="Z55" s="170">
        <f>COUNTA(Y57:Y62)</f>
        <v>5</v>
      </c>
      <c r="AP55" t="str">
        <f t="shared" si="3"/>
        <v>WA - Inner city</v>
      </c>
    </row>
    <row r="56" spans="3:42">
      <c r="C56" s="15">
        <f t="shared" ca="1" si="1"/>
        <v>47</v>
      </c>
      <c r="D56" s="155" t="s">
        <v>484</v>
      </c>
      <c r="E56" s="156" t="str">
        <f>'Loan Feature Input'!E50</f>
        <v>N/A</v>
      </c>
      <c r="Y56" s="171" t="s">
        <v>370</v>
      </c>
      <c r="Z56" s="172" t="s">
        <v>371</v>
      </c>
      <c r="AA56" s="172" t="s">
        <v>372</v>
      </c>
      <c r="AB56" s="172" t="s">
        <v>373</v>
      </c>
      <c r="AC56" s="173" t="s">
        <v>440</v>
      </c>
      <c r="AD56" s="173" t="s">
        <v>375</v>
      </c>
      <c r="AE56" s="174" t="s">
        <v>376</v>
      </c>
      <c r="AP56" t="str">
        <f t="shared" si="3"/>
        <v>WA - Metro</v>
      </c>
    </row>
    <row r="57" spans="3:42">
      <c r="C57" s="15">
        <f t="shared" ca="1" si="1"/>
        <v>48</v>
      </c>
      <c r="D57" s="155" t="s">
        <v>485</v>
      </c>
      <c r="E57" s="156">
        <f>'Loan Feature Input'!E51</f>
        <v>43982</v>
      </c>
      <c r="Y57" s="175" t="s">
        <v>380</v>
      </c>
      <c r="Z57" s="176" t="s">
        <v>483</v>
      </c>
      <c r="AA57" s="176">
        <v>0</v>
      </c>
      <c r="AB57" s="176" t="s">
        <v>382</v>
      </c>
      <c r="AC57" s="177">
        <v>0</v>
      </c>
      <c r="AD57" s="178">
        <v>1.5</v>
      </c>
      <c r="AE57" s="179"/>
      <c r="AP57" t="str">
        <f t="shared" si="3"/>
        <v>WA - Non metro</v>
      </c>
    </row>
    <row r="58" spans="3:42">
      <c r="C58" s="15">
        <f t="shared" ca="1" si="1"/>
        <v>49</v>
      </c>
      <c r="D58" s="155" t="s">
        <v>486</v>
      </c>
      <c r="E58" s="156" t="str">
        <f>'Loan Feature Input'!E52</f>
        <v>NSW</v>
      </c>
      <c r="Y58" s="175" t="s">
        <v>380</v>
      </c>
      <c r="Z58" s="176" t="s">
        <v>483</v>
      </c>
      <c r="AA58" s="176">
        <v>1</v>
      </c>
      <c r="AB58" s="176" t="s">
        <v>382</v>
      </c>
      <c r="AC58" s="177">
        <v>1</v>
      </c>
      <c r="AD58" s="178">
        <v>1.4</v>
      </c>
      <c r="AE58" s="179"/>
      <c r="AP58" t="str">
        <f t="shared" si="3"/>
        <v>WA - Metro</v>
      </c>
    </row>
    <row r="59" spans="3:42">
      <c r="C59" s="15">
        <f t="shared" ca="1" si="1"/>
        <v>50</v>
      </c>
      <c r="D59" s="155" t="s">
        <v>487</v>
      </c>
      <c r="E59" s="156" t="str">
        <f>'Loan Feature Input'!E53</f>
        <v>Metro</v>
      </c>
      <c r="Y59" s="175" t="s">
        <v>380</v>
      </c>
      <c r="Z59" s="176" t="s">
        <v>483</v>
      </c>
      <c r="AA59" s="176">
        <v>2</v>
      </c>
      <c r="AB59" s="176" t="s">
        <v>382</v>
      </c>
      <c r="AC59" s="177">
        <v>2</v>
      </c>
      <c r="AD59" s="178">
        <v>1.35</v>
      </c>
      <c r="AE59" s="179"/>
      <c r="AP59" t="str">
        <f t="shared" si="3"/>
        <v>TAS - Inner city</v>
      </c>
    </row>
    <row r="60" spans="3:42">
      <c r="Y60" s="175" t="s">
        <v>380</v>
      </c>
      <c r="Z60" s="176" t="s">
        <v>483</v>
      </c>
      <c r="AA60" s="176">
        <v>3</v>
      </c>
      <c r="AB60" s="176"/>
      <c r="AC60" s="177">
        <v>3</v>
      </c>
      <c r="AD60" s="178">
        <v>1.3</v>
      </c>
      <c r="AE60" s="179"/>
      <c r="AP60" t="str">
        <f t="shared" si="3"/>
        <v>TAS - Metro</v>
      </c>
    </row>
    <row r="61" spans="3:42">
      <c r="Y61" s="175" t="s">
        <v>380</v>
      </c>
      <c r="Z61" s="176" t="s">
        <v>483</v>
      </c>
      <c r="AA61" s="176">
        <v>4</v>
      </c>
      <c r="AB61" s="176"/>
      <c r="AC61" s="177">
        <v>4</v>
      </c>
      <c r="AD61" s="178">
        <v>1.25</v>
      </c>
      <c r="AE61" s="179"/>
      <c r="AP61" t="str">
        <f t="shared" si="3"/>
        <v>TAS - Non metro</v>
      </c>
    </row>
    <row r="62" spans="3:42">
      <c r="AP62" t="str">
        <f t="shared" si="3"/>
        <v>TAS - Metro</v>
      </c>
    </row>
    <row r="63" spans="3:42">
      <c r="W63" s="164">
        <f>W54+1</f>
        <v>7</v>
      </c>
      <c r="X63" s="164" t="s">
        <v>482</v>
      </c>
      <c r="AP63" t="str">
        <f t="shared" si="3"/>
        <v>TAS - Non metro</v>
      </c>
    </row>
    <row r="64" spans="3:42">
      <c r="Y64" s="169" t="s">
        <v>367</v>
      </c>
      <c r="Z64" s="170">
        <f>COUNTA(Y66:Y69)</f>
        <v>2</v>
      </c>
      <c r="AP64" t="str">
        <f>CONCATENATE(Z167," - ",AA167)</f>
        <v>VIC - Inner city</v>
      </c>
    </row>
    <row r="65" spans="23:42">
      <c r="Y65" s="171" t="s">
        <v>370</v>
      </c>
      <c r="Z65" s="172" t="s">
        <v>371</v>
      </c>
      <c r="AA65" s="172" t="s">
        <v>372</v>
      </c>
      <c r="AB65" s="172" t="s">
        <v>373</v>
      </c>
      <c r="AC65" s="173" t="s">
        <v>440</v>
      </c>
      <c r="AD65" s="173" t="s">
        <v>375</v>
      </c>
      <c r="AE65" s="174" t="s">
        <v>376</v>
      </c>
      <c r="AP65" t="str">
        <f t="shared" si="3"/>
        <v>VIC - Metro</v>
      </c>
    </row>
    <row r="66" spans="23:42">
      <c r="Y66" s="175" t="s">
        <v>380</v>
      </c>
      <c r="Z66" s="176" t="s">
        <v>482</v>
      </c>
      <c r="AA66" s="176" t="s">
        <v>36</v>
      </c>
      <c r="AB66" s="176" t="s">
        <v>382</v>
      </c>
      <c r="AC66" s="177"/>
      <c r="AD66" s="178">
        <v>1</v>
      </c>
      <c r="AE66" s="179"/>
      <c r="AP66" t="str">
        <f t="shared" si="3"/>
        <v>VIC - Non metro</v>
      </c>
    </row>
    <row r="67" spans="23:42">
      <c r="Y67" s="175" t="s">
        <v>380</v>
      </c>
      <c r="Z67" s="176" t="s">
        <v>482</v>
      </c>
      <c r="AA67" s="176" t="s">
        <v>35</v>
      </c>
      <c r="AB67" s="176" t="s">
        <v>382</v>
      </c>
      <c r="AC67" s="177"/>
      <c r="AD67" s="178">
        <v>0</v>
      </c>
      <c r="AE67" s="179"/>
      <c r="AP67" t="str">
        <f t="shared" si="3"/>
        <v>QLD - Inner city</v>
      </c>
    </row>
    <row r="68" spans="23:42">
      <c r="AP68" t="str">
        <f t="shared" si="3"/>
        <v>QLD - Non metro</v>
      </c>
    </row>
    <row r="69" spans="23:42">
      <c r="W69" s="164">
        <f>W63+1</f>
        <v>8</v>
      </c>
      <c r="X69" s="164" t="s">
        <v>489</v>
      </c>
      <c r="AP69" t="str">
        <f>CONCATENATE(Z172," - ",AA172)</f>
        <v>QLD - Metro</v>
      </c>
    </row>
    <row r="70" spans="23:42">
      <c r="Y70" s="169" t="s">
        <v>367</v>
      </c>
      <c r="Z70" s="170">
        <f>COUNTA(Y72:Y79)</f>
        <v>7</v>
      </c>
      <c r="AP70" t="str">
        <f t="shared" si="3"/>
        <v>QLD - Non metro</v>
      </c>
    </row>
    <row r="71" spans="23:42">
      <c r="Y71" s="171" t="s">
        <v>370</v>
      </c>
      <c r="Z71" s="172" t="s">
        <v>371</v>
      </c>
      <c r="AA71" s="172" t="s">
        <v>372</v>
      </c>
      <c r="AB71" s="172" t="s">
        <v>373</v>
      </c>
      <c r="AC71" s="173" t="s">
        <v>440</v>
      </c>
      <c r="AD71" s="173" t="s">
        <v>375</v>
      </c>
      <c r="AE71" s="174" t="s">
        <v>376</v>
      </c>
    </row>
    <row r="72" spans="23:42">
      <c r="Y72" s="175" t="s">
        <v>380</v>
      </c>
      <c r="Z72" s="176" t="s">
        <v>489</v>
      </c>
      <c r="AA72" s="176" t="s">
        <v>490</v>
      </c>
      <c r="AB72" s="176" t="s">
        <v>382</v>
      </c>
      <c r="AC72" s="177">
        <v>0</v>
      </c>
      <c r="AD72" s="178">
        <v>1</v>
      </c>
      <c r="AE72" s="179"/>
    </row>
    <row r="73" spans="23:42">
      <c r="Y73" s="175" t="s">
        <v>380</v>
      </c>
      <c r="Z73" s="176" t="s">
        <v>489</v>
      </c>
      <c r="AA73" s="176" t="s">
        <v>491</v>
      </c>
      <c r="AB73" s="176" t="s">
        <v>382</v>
      </c>
      <c r="AC73" s="177">
        <v>12.000999999999999</v>
      </c>
      <c r="AD73" s="178">
        <v>0.85</v>
      </c>
      <c r="AE73" s="179"/>
    </row>
    <row r="74" spans="23:42">
      <c r="Y74" s="175" t="s">
        <v>380</v>
      </c>
      <c r="Z74" s="176" t="s">
        <v>489</v>
      </c>
      <c r="AA74" s="176" t="s">
        <v>492</v>
      </c>
      <c r="AB74" s="176" t="s">
        <v>382</v>
      </c>
      <c r="AC74" s="177">
        <v>24.001000000000001</v>
      </c>
      <c r="AD74" s="178">
        <v>0.8</v>
      </c>
      <c r="AE74" s="179"/>
    </row>
    <row r="75" spans="23:42">
      <c r="Y75" s="175" t="s">
        <v>380</v>
      </c>
      <c r="Z75" s="176" t="s">
        <v>489</v>
      </c>
      <c r="AA75" s="176" t="s">
        <v>493</v>
      </c>
      <c r="AB75" s="176" t="s">
        <v>382</v>
      </c>
      <c r="AC75" s="177">
        <v>36.000999999999998</v>
      </c>
      <c r="AD75" s="178">
        <v>0.55000000000000004</v>
      </c>
      <c r="AE75" s="179"/>
    </row>
    <row r="76" spans="23:42">
      <c r="Y76" s="175" t="s">
        <v>380</v>
      </c>
      <c r="Z76" s="176" t="s">
        <v>489</v>
      </c>
      <c r="AA76" s="176" t="s">
        <v>494</v>
      </c>
      <c r="AB76" s="176" t="s">
        <v>382</v>
      </c>
      <c r="AC76" s="177">
        <v>48.000999999999998</v>
      </c>
      <c r="AD76" s="178">
        <v>0.35</v>
      </c>
      <c r="AE76" s="179"/>
    </row>
    <row r="77" spans="23:42">
      <c r="Y77" s="175" t="s">
        <v>380</v>
      </c>
      <c r="Z77" s="176" t="s">
        <v>489</v>
      </c>
      <c r="AA77" s="176" t="s">
        <v>495</v>
      </c>
      <c r="AB77" s="176" t="s">
        <v>382</v>
      </c>
      <c r="AC77" s="177">
        <v>60.000999999999998</v>
      </c>
      <c r="AD77" s="178">
        <v>0.15</v>
      </c>
      <c r="AE77" s="179"/>
    </row>
    <row r="78" spans="23:42">
      <c r="Y78" s="175" t="s">
        <v>380</v>
      </c>
      <c r="Z78" s="176" t="s">
        <v>489</v>
      </c>
      <c r="AA78" s="176" t="s">
        <v>496</v>
      </c>
      <c r="AB78" s="176" t="s">
        <v>382</v>
      </c>
      <c r="AC78" s="177">
        <v>72.001000000000005</v>
      </c>
      <c r="AD78" s="178">
        <v>0</v>
      </c>
      <c r="AE78" s="179"/>
    </row>
    <row r="80" spans="23:42">
      <c r="W80" s="164">
        <f>W69+1</f>
        <v>9</v>
      </c>
      <c r="X80" s="164" t="s">
        <v>402</v>
      </c>
    </row>
    <row r="81" spans="23:32">
      <c r="Y81" s="169" t="s">
        <v>367</v>
      </c>
      <c r="Z81" s="170">
        <f>COUNTA(Y83:Y86)</f>
        <v>3</v>
      </c>
    </row>
    <row r="82" spans="23:32">
      <c r="Y82" s="171" t="s">
        <v>370</v>
      </c>
      <c r="Z82" s="172" t="s">
        <v>371</v>
      </c>
      <c r="AA82" s="172" t="s">
        <v>372</v>
      </c>
      <c r="AB82" s="172" t="s">
        <v>373</v>
      </c>
      <c r="AC82" s="173" t="s">
        <v>440</v>
      </c>
      <c r="AD82" s="173" t="s">
        <v>375</v>
      </c>
      <c r="AE82" s="174" t="s">
        <v>376</v>
      </c>
    </row>
    <row r="83" spans="23:32">
      <c r="Y83" s="175" t="s">
        <v>380</v>
      </c>
      <c r="Z83" s="176" t="s">
        <v>402</v>
      </c>
      <c r="AA83" s="176" t="s">
        <v>35</v>
      </c>
      <c r="AB83" s="176"/>
      <c r="AC83" s="177">
        <v>18</v>
      </c>
      <c r="AD83" s="178">
        <v>1.1000000000000001</v>
      </c>
      <c r="AE83" s="179"/>
    </row>
    <row r="84" spans="23:32">
      <c r="Y84" s="175" t="s">
        <v>380</v>
      </c>
      <c r="Z84" s="176" t="s">
        <v>402</v>
      </c>
      <c r="AA84" s="176" t="s">
        <v>36</v>
      </c>
      <c r="AB84" s="176"/>
      <c r="AC84" s="177">
        <v>18</v>
      </c>
      <c r="AD84" s="178">
        <v>1</v>
      </c>
      <c r="AE84" s="179"/>
    </row>
    <row r="85" spans="23:32">
      <c r="Y85" s="175" t="s">
        <v>380</v>
      </c>
      <c r="Z85" s="176" t="s">
        <v>402</v>
      </c>
      <c r="AA85" s="176" t="s">
        <v>455</v>
      </c>
      <c r="AB85" s="176"/>
      <c r="AC85" s="177">
        <v>18</v>
      </c>
      <c r="AD85" s="178">
        <v>1.01</v>
      </c>
      <c r="AE85" s="179"/>
    </row>
    <row r="87" spans="23:32">
      <c r="W87" s="164">
        <f>W80+1</f>
        <v>10</v>
      </c>
      <c r="X87" s="164" t="s">
        <v>497</v>
      </c>
    </row>
    <row r="88" spans="23:32">
      <c r="Y88" s="169" t="s">
        <v>367</v>
      </c>
      <c r="Z88" s="170">
        <f>COUNTA(Y90:Y92)</f>
        <v>2</v>
      </c>
    </row>
    <row r="89" spans="23:32">
      <c r="Y89" s="171" t="s">
        <v>370</v>
      </c>
      <c r="Z89" s="172" t="s">
        <v>371</v>
      </c>
      <c r="AA89" s="172" t="s">
        <v>372</v>
      </c>
      <c r="AB89" s="172" t="s">
        <v>373</v>
      </c>
      <c r="AC89" s="173" t="s">
        <v>440</v>
      </c>
      <c r="AD89" s="173" t="s">
        <v>375</v>
      </c>
      <c r="AE89" s="174" t="s">
        <v>376</v>
      </c>
    </row>
    <row r="90" spans="23:32">
      <c r="Y90" s="175" t="s">
        <v>380</v>
      </c>
      <c r="Z90" s="176" t="s">
        <v>497</v>
      </c>
      <c r="AA90" s="176" t="s">
        <v>498</v>
      </c>
      <c r="AB90" s="176"/>
      <c r="AC90" s="177"/>
      <c r="AD90" s="178">
        <v>1</v>
      </c>
      <c r="AE90" s="179"/>
    </row>
    <row r="91" spans="23:32">
      <c r="Y91" s="175" t="s">
        <v>380</v>
      </c>
      <c r="Z91" s="176" t="s">
        <v>497</v>
      </c>
      <c r="AA91" s="176" t="s">
        <v>401</v>
      </c>
      <c r="AB91" s="176"/>
      <c r="AC91" s="177"/>
      <c r="AD91" s="178">
        <v>1.1000000000000001</v>
      </c>
      <c r="AE91" s="179"/>
    </row>
    <row r="92" spans="23:32">
      <c r="Y92" s="169"/>
      <c r="Z92" s="231"/>
      <c r="AA92" s="231"/>
      <c r="AB92" s="231"/>
      <c r="AC92" s="232"/>
      <c r="AD92" s="233"/>
      <c r="AE92" s="234"/>
      <c r="AF92" s="142"/>
    </row>
    <row r="93" spans="23:32">
      <c r="W93" s="164">
        <f>W87+1</f>
        <v>11</v>
      </c>
      <c r="X93" s="164" t="s">
        <v>499</v>
      </c>
    </row>
    <row r="94" spans="23:32">
      <c r="Y94" s="169" t="s">
        <v>367</v>
      </c>
      <c r="Z94" s="170">
        <f>COUNTA(Y96:Y99)</f>
        <v>3</v>
      </c>
    </row>
    <row r="95" spans="23:32">
      <c r="Y95" s="171" t="s">
        <v>370</v>
      </c>
      <c r="Z95" s="172" t="s">
        <v>371</v>
      </c>
      <c r="AA95" s="172" t="s">
        <v>372</v>
      </c>
      <c r="AB95" s="172" t="s">
        <v>373</v>
      </c>
      <c r="AC95" s="173" t="s">
        <v>440</v>
      </c>
      <c r="AD95" s="173" t="s">
        <v>375</v>
      </c>
      <c r="AE95" s="174" t="s">
        <v>376</v>
      </c>
    </row>
    <row r="96" spans="23:32">
      <c r="Y96" s="175" t="s">
        <v>380</v>
      </c>
      <c r="Z96" s="176" t="s">
        <v>499</v>
      </c>
      <c r="AA96" s="176" t="s">
        <v>36</v>
      </c>
      <c r="AB96" s="176" t="s">
        <v>382</v>
      </c>
      <c r="AC96" s="177"/>
      <c r="AD96" s="178">
        <v>1</v>
      </c>
      <c r="AE96" s="179"/>
    </row>
    <row r="97" spans="23:31">
      <c r="Y97" s="175" t="s">
        <v>380</v>
      </c>
      <c r="Z97" s="176" t="s">
        <v>499</v>
      </c>
      <c r="AA97" s="176" t="s">
        <v>35</v>
      </c>
      <c r="AB97" s="176" t="s">
        <v>382</v>
      </c>
      <c r="AC97" s="177"/>
      <c r="AD97" s="178">
        <v>0</v>
      </c>
      <c r="AE97" s="179"/>
    </row>
    <row r="98" spans="23:31">
      <c r="Y98" s="175" t="s">
        <v>380</v>
      </c>
      <c r="Z98" s="176" t="s">
        <v>499</v>
      </c>
      <c r="AA98" s="176" t="s">
        <v>455</v>
      </c>
      <c r="AB98" s="176"/>
      <c r="AC98" s="177"/>
      <c r="AD98" s="178">
        <v>1</v>
      </c>
      <c r="AE98" s="179"/>
    </row>
    <row r="100" spans="23:31">
      <c r="W100" s="164">
        <f>W93+1</f>
        <v>12</v>
      </c>
      <c r="X100" s="164" t="s">
        <v>500</v>
      </c>
    </row>
    <row r="101" spans="23:31">
      <c r="Y101" s="169" t="s">
        <v>367</v>
      </c>
      <c r="Z101" s="170">
        <f>COUNTA(Y103:Y109)</f>
        <v>6</v>
      </c>
    </row>
    <row r="102" spans="23:31">
      <c r="Y102" s="171" t="s">
        <v>370</v>
      </c>
      <c r="Z102" s="172" t="s">
        <v>371</v>
      </c>
      <c r="AA102" s="172" t="s">
        <v>372</v>
      </c>
      <c r="AB102" s="172" t="s">
        <v>373</v>
      </c>
      <c r="AC102" s="173" t="s">
        <v>440</v>
      </c>
      <c r="AD102" s="173" t="s">
        <v>375</v>
      </c>
      <c r="AE102" s="174" t="s">
        <v>376</v>
      </c>
    </row>
    <row r="103" spans="23:31">
      <c r="Y103" s="175" t="s">
        <v>380</v>
      </c>
      <c r="Z103" s="176" t="s">
        <v>500</v>
      </c>
      <c r="AA103" s="176" t="s">
        <v>498</v>
      </c>
      <c r="AB103" s="176" t="s">
        <v>501</v>
      </c>
      <c r="AC103" s="177"/>
      <c r="AD103" s="178">
        <v>1.5</v>
      </c>
      <c r="AE103" s="179"/>
    </row>
    <row r="104" spans="23:31">
      <c r="Y104" s="175" t="s">
        <v>380</v>
      </c>
      <c r="Z104" s="176" t="s">
        <v>500</v>
      </c>
      <c r="AA104" s="176" t="s">
        <v>498</v>
      </c>
      <c r="AB104" s="176" t="s">
        <v>488</v>
      </c>
      <c r="AC104" s="177"/>
      <c r="AD104" s="178">
        <v>1.25</v>
      </c>
      <c r="AE104" s="179"/>
    </row>
    <row r="105" spans="23:31">
      <c r="Y105" s="175" t="s">
        <v>380</v>
      </c>
      <c r="Z105" s="176" t="s">
        <v>500</v>
      </c>
      <c r="AA105" s="176" t="s">
        <v>498</v>
      </c>
      <c r="AB105" s="176" t="s">
        <v>502</v>
      </c>
      <c r="AC105" s="177"/>
      <c r="AD105" s="178">
        <v>1.25</v>
      </c>
      <c r="AE105" s="179"/>
    </row>
    <row r="106" spans="23:31">
      <c r="Y106" s="175" t="s">
        <v>380</v>
      </c>
      <c r="Z106" s="176" t="s">
        <v>500</v>
      </c>
      <c r="AA106" s="176" t="s">
        <v>401</v>
      </c>
      <c r="AB106" s="176" t="s">
        <v>488</v>
      </c>
      <c r="AC106" s="177"/>
      <c r="AD106" s="178">
        <v>1.5</v>
      </c>
      <c r="AE106" s="179"/>
    </row>
    <row r="107" spans="23:31">
      <c r="Y107" s="175" t="s">
        <v>380</v>
      </c>
      <c r="Z107" s="176" t="s">
        <v>500</v>
      </c>
      <c r="AA107" s="176" t="s">
        <v>401</v>
      </c>
      <c r="AB107" s="176" t="s">
        <v>502</v>
      </c>
      <c r="AC107" s="177"/>
      <c r="AD107" s="178">
        <v>1.5</v>
      </c>
      <c r="AE107" s="179"/>
    </row>
    <row r="108" spans="23:31">
      <c r="Y108" s="175" t="s">
        <v>380</v>
      </c>
      <c r="Z108" s="176" t="s">
        <v>500</v>
      </c>
      <c r="AA108" s="176" t="s">
        <v>401</v>
      </c>
      <c r="AB108" s="176" t="s">
        <v>501</v>
      </c>
      <c r="AC108" s="177"/>
      <c r="AD108" s="178">
        <v>1.8</v>
      </c>
      <c r="AE108" s="179"/>
    </row>
    <row r="110" spans="23:31">
      <c r="W110" s="164">
        <f>W100+1</f>
        <v>13</v>
      </c>
      <c r="X110" s="164" t="s">
        <v>503</v>
      </c>
    </row>
    <row r="111" spans="23:31">
      <c r="Y111" s="169" t="s">
        <v>367</v>
      </c>
      <c r="Z111" s="170">
        <f>COUNTA(Y113:Y174)</f>
        <v>61</v>
      </c>
    </row>
    <row r="112" spans="23:31">
      <c r="Y112" s="235" t="s">
        <v>504</v>
      </c>
      <c r="Z112" s="172" t="s">
        <v>486</v>
      </c>
      <c r="AA112" s="172" t="s">
        <v>505</v>
      </c>
    </row>
    <row r="113" spans="25:27">
      <c r="Y113" s="236">
        <v>0</v>
      </c>
      <c r="Z113" s="176" t="s">
        <v>506</v>
      </c>
      <c r="AA113" s="176" t="s">
        <v>506</v>
      </c>
    </row>
    <row r="114" spans="25:27">
      <c r="Y114" s="236">
        <v>200</v>
      </c>
      <c r="Z114" s="176" t="s">
        <v>507</v>
      </c>
      <c r="AA114" s="176" t="s">
        <v>508</v>
      </c>
    </row>
    <row r="115" spans="25:27">
      <c r="Y115" s="236">
        <v>800</v>
      </c>
      <c r="Z115" s="176" t="s">
        <v>509</v>
      </c>
      <c r="AA115" s="176" t="s">
        <v>488</v>
      </c>
    </row>
    <row r="116" spans="25:27" outlineLevel="1">
      <c r="Y116" s="236">
        <v>821</v>
      </c>
      <c r="Z116" s="176" t="s">
        <v>509</v>
      </c>
      <c r="AA116" s="176" t="s">
        <v>508</v>
      </c>
    </row>
    <row r="117" spans="25:27" outlineLevel="1">
      <c r="Y117" s="236">
        <v>828</v>
      </c>
      <c r="Z117" s="176" t="s">
        <v>509</v>
      </c>
      <c r="AA117" s="176" t="s">
        <v>488</v>
      </c>
    </row>
    <row r="118" spans="25:27" outlineLevel="1">
      <c r="Y118" s="236">
        <v>833</v>
      </c>
      <c r="Z118" s="176" t="s">
        <v>509</v>
      </c>
      <c r="AA118" s="176" t="s">
        <v>508</v>
      </c>
    </row>
    <row r="119" spans="25:27" outlineLevel="1">
      <c r="Y119" s="236">
        <v>1000</v>
      </c>
      <c r="Z119" s="176" t="s">
        <v>307</v>
      </c>
      <c r="AA119" s="176" t="s">
        <v>488</v>
      </c>
    </row>
    <row r="120" spans="25:27" outlineLevel="1">
      <c r="Y120" s="236">
        <v>1921</v>
      </c>
      <c r="Z120" s="176" t="s">
        <v>307</v>
      </c>
      <c r="AA120" s="176" t="s">
        <v>508</v>
      </c>
    </row>
    <row r="121" spans="25:27" outlineLevel="1">
      <c r="Y121" s="236">
        <v>2000</v>
      </c>
      <c r="Z121" s="176" t="s">
        <v>307</v>
      </c>
      <c r="AA121" s="176" t="s">
        <v>510</v>
      </c>
    </row>
    <row r="122" spans="25:27" outlineLevel="1">
      <c r="Y122" s="236">
        <v>2006</v>
      </c>
      <c r="Z122" s="176" t="s">
        <v>307</v>
      </c>
      <c r="AA122" s="176" t="s">
        <v>488</v>
      </c>
    </row>
    <row r="123" spans="25:27" outlineLevel="1">
      <c r="Y123" s="236">
        <v>2250</v>
      </c>
      <c r="Z123" s="176" t="s">
        <v>307</v>
      </c>
      <c r="AA123" s="176" t="s">
        <v>508</v>
      </c>
    </row>
    <row r="124" spans="25:27" outlineLevel="1">
      <c r="Y124" s="236">
        <v>2558</v>
      </c>
      <c r="Z124" s="176" t="s">
        <v>307</v>
      </c>
      <c r="AA124" s="176" t="s">
        <v>488</v>
      </c>
    </row>
    <row r="125" spans="25:27" outlineLevel="1">
      <c r="Y125" s="236">
        <v>2575</v>
      </c>
      <c r="Z125" s="176" t="s">
        <v>307</v>
      </c>
      <c r="AA125" s="176" t="s">
        <v>508</v>
      </c>
    </row>
    <row r="126" spans="25:27" outlineLevel="1">
      <c r="Y126" s="236">
        <v>2600</v>
      </c>
      <c r="Z126" s="176" t="s">
        <v>507</v>
      </c>
      <c r="AA126" s="176" t="s">
        <v>488</v>
      </c>
    </row>
    <row r="127" spans="25:27" outlineLevel="1">
      <c r="Y127" s="236">
        <v>2640</v>
      </c>
      <c r="Z127" s="176" t="s">
        <v>307</v>
      </c>
      <c r="AA127" s="176" t="s">
        <v>508</v>
      </c>
    </row>
    <row r="128" spans="25:27" outlineLevel="1">
      <c r="Y128" s="236">
        <v>2740</v>
      </c>
      <c r="Z128" s="176" t="s">
        <v>307</v>
      </c>
      <c r="AA128" s="176" t="s">
        <v>488</v>
      </c>
    </row>
    <row r="129" spans="25:27" outlineLevel="1">
      <c r="Y129" s="236">
        <v>2787</v>
      </c>
      <c r="Z129" s="176" t="s">
        <v>307</v>
      </c>
      <c r="AA129" s="176" t="s">
        <v>508</v>
      </c>
    </row>
    <row r="130" spans="25:27" outlineLevel="1">
      <c r="Y130" s="236">
        <v>2900</v>
      </c>
      <c r="Z130" s="176" t="s">
        <v>507</v>
      </c>
      <c r="AA130" s="176" t="s">
        <v>488</v>
      </c>
    </row>
    <row r="131" spans="25:27" outlineLevel="1">
      <c r="Y131" s="236">
        <v>2921</v>
      </c>
      <c r="Z131" s="176" t="s">
        <v>307</v>
      </c>
      <c r="AA131" s="176" t="s">
        <v>508</v>
      </c>
    </row>
    <row r="132" spans="25:27" outlineLevel="1">
      <c r="Y132" s="236">
        <v>3000</v>
      </c>
      <c r="Z132" s="176" t="s">
        <v>308</v>
      </c>
      <c r="AA132" s="176" t="s">
        <v>510</v>
      </c>
    </row>
    <row r="133" spans="25:27" outlineLevel="1">
      <c r="Y133" s="236">
        <v>3011</v>
      </c>
      <c r="Z133" s="176" t="s">
        <v>308</v>
      </c>
      <c r="AA133" s="176" t="s">
        <v>488</v>
      </c>
    </row>
    <row r="134" spans="25:27" outlineLevel="1">
      <c r="Y134" s="236">
        <v>3211</v>
      </c>
      <c r="Z134" s="176" t="s">
        <v>308</v>
      </c>
      <c r="AA134" s="176" t="s">
        <v>508</v>
      </c>
    </row>
    <row r="135" spans="25:27" outlineLevel="1">
      <c r="Y135" s="236">
        <v>3335</v>
      </c>
      <c r="Z135" s="176" t="s">
        <v>308</v>
      </c>
      <c r="AA135" s="176" t="s">
        <v>488</v>
      </c>
    </row>
    <row r="136" spans="25:27" outlineLevel="1">
      <c r="Y136" s="236">
        <v>3342</v>
      </c>
      <c r="Z136" s="176" t="s">
        <v>308</v>
      </c>
      <c r="AA136" s="176" t="s">
        <v>508</v>
      </c>
    </row>
    <row r="137" spans="25:27" outlineLevel="1">
      <c r="Y137" s="236">
        <v>3425</v>
      </c>
      <c r="Z137" s="176" t="s">
        <v>308</v>
      </c>
      <c r="AA137" s="176" t="s">
        <v>488</v>
      </c>
    </row>
    <row r="138" spans="25:27" outlineLevel="1">
      <c r="Y138" s="236">
        <v>3444</v>
      </c>
      <c r="Z138" s="176" t="s">
        <v>308</v>
      </c>
      <c r="AA138" s="176" t="s">
        <v>508</v>
      </c>
    </row>
    <row r="139" spans="25:27" outlineLevel="1">
      <c r="Y139" s="236">
        <v>3750</v>
      </c>
      <c r="Z139" s="176" t="s">
        <v>308</v>
      </c>
      <c r="AA139" s="176" t="s">
        <v>488</v>
      </c>
    </row>
    <row r="140" spans="25:27" outlineLevel="1">
      <c r="Y140" s="236">
        <v>3812</v>
      </c>
      <c r="Z140" s="176" t="s">
        <v>308</v>
      </c>
      <c r="AA140" s="176" t="s">
        <v>508</v>
      </c>
    </row>
    <row r="141" spans="25:27" outlineLevel="1">
      <c r="Y141" s="236">
        <v>3910</v>
      </c>
      <c r="Z141" s="176" t="s">
        <v>308</v>
      </c>
      <c r="AA141" s="176" t="s">
        <v>488</v>
      </c>
    </row>
    <row r="142" spans="25:27" outlineLevel="1">
      <c r="Y142" s="236">
        <v>3921</v>
      </c>
      <c r="Z142" s="176" t="s">
        <v>308</v>
      </c>
      <c r="AA142" s="176" t="s">
        <v>508</v>
      </c>
    </row>
    <row r="143" spans="25:27" outlineLevel="1">
      <c r="Y143" s="236">
        <v>3926</v>
      </c>
      <c r="Z143" s="176" t="s">
        <v>308</v>
      </c>
      <c r="AA143" s="176" t="s">
        <v>488</v>
      </c>
    </row>
    <row r="144" spans="25:27" outlineLevel="1">
      <c r="Y144" s="236">
        <v>3945</v>
      </c>
      <c r="Z144" s="176" t="s">
        <v>308</v>
      </c>
      <c r="AA144" s="176" t="s">
        <v>508</v>
      </c>
    </row>
    <row r="145" spans="25:27" outlineLevel="1">
      <c r="Y145" s="236">
        <v>3972</v>
      </c>
      <c r="Z145" s="176" t="s">
        <v>308</v>
      </c>
      <c r="AA145" s="176" t="s">
        <v>488</v>
      </c>
    </row>
    <row r="146" spans="25:27" outlineLevel="1">
      <c r="Y146" s="236">
        <v>3979</v>
      </c>
      <c r="Z146" s="176" t="s">
        <v>308</v>
      </c>
      <c r="AA146" s="176" t="s">
        <v>508</v>
      </c>
    </row>
    <row r="147" spans="25:27" outlineLevel="1">
      <c r="Y147" s="236">
        <v>3980</v>
      </c>
      <c r="Z147" s="176" t="s">
        <v>308</v>
      </c>
      <c r="AA147" s="176" t="s">
        <v>488</v>
      </c>
    </row>
    <row r="148" spans="25:27" outlineLevel="1">
      <c r="Y148" s="236">
        <v>3984</v>
      </c>
      <c r="Z148" s="176" t="s">
        <v>308</v>
      </c>
      <c r="AA148" s="176" t="s">
        <v>508</v>
      </c>
    </row>
    <row r="149" spans="25:27" outlineLevel="1">
      <c r="Y149" s="236">
        <v>4000</v>
      </c>
      <c r="Z149" s="176" t="s">
        <v>309</v>
      </c>
      <c r="AA149" s="176" t="s">
        <v>510</v>
      </c>
    </row>
    <row r="150" spans="25:27" outlineLevel="1">
      <c r="Y150" s="236">
        <v>4005</v>
      </c>
      <c r="Z150" s="176" t="s">
        <v>309</v>
      </c>
      <c r="AA150" s="176" t="s">
        <v>488</v>
      </c>
    </row>
    <row r="151" spans="25:27" outlineLevel="1">
      <c r="Y151" s="236">
        <v>4210</v>
      </c>
      <c r="Z151" s="176" t="s">
        <v>309</v>
      </c>
      <c r="AA151" s="176" t="s">
        <v>508</v>
      </c>
    </row>
    <row r="152" spans="25:27" outlineLevel="1">
      <c r="Y152" s="236">
        <v>4500</v>
      </c>
      <c r="Z152" s="176" t="s">
        <v>309</v>
      </c>
      <c r="AA152" s="176" t="s">
        <v>488</v>
      </c>
    </row>
    <row r="153" spans="25:27" outlineLevel="1">
      <c r="Y153" s="236">
        <v>4550</v>
      </c>
      <c r="Z153" s="176" t="s">
        <v>309</v>
      </c>
      <c r="AA153" s="176" t="s">
        <v>508</v>
      </c>
    </row>
    <row r="154" spans="25:27" outlineLevel="1">
      <c r="Y154" s="236">
        <v>5000</v>
      </c>
      <c r="Z154" s="176" t="s">
        <v>310</v>
      </c>
      <c r="AA154" s="176" t="s">
        <v>510</v>
      </c>
    </row>
    <row r="155" spans="25:27" outlineLevel="1">
      <c r="Y155" s="236">
        <v>5006</v>
      </c>
      <c r="Z155" s="176" t="s">
        <v>310</v>
      </c>
      <c r="AA155" s="176" t="s">
        <v>488</v>
      </c>
    </row>
    <row r="156" spans="25:27" outlineLevel="1">
      <c r="Y156" s="236">
        <v>5200</v>
      </c>
      <c r="Z156" s="176" t="s">
        <v>310</v>
      </c>
      <c r="AA156" s="176" t="s">
        <v>508</v>
      </c>
    </row>
    <row r="157" spans="25:27" outlineLevel="1">
      <c r="Y157" s="236">
        <v>5800</v>
      </c>
      <c r="Z157" s="176" t="s">
        <v>310</v>
      </c>
      <c r="AA157" s="176" t="s">
        <v>488</v>
      </c>
    </row>
    <row r="158" spans="25:27" outlineLevel="1">
      <c r="Y158" s="236">
        <v>6000</v>
      </c>
      <c r="Z158" s="176" t="s">
        <v>311</v>
      </c>
      <c r="AA158" s="176" t="s">
        <v>510</v>
      </c>
    </row>
    <row r="159" spans="25:27" outlineLevel="1">
      <c r="Y159" s="236">
        <v>6005</v>
      </c>
      <c r="Z159" s="176" t="s">
        <v>311</v>
      </c>
      <c r="AA159" s="176" t="s">
        <v>488</v>
      </c>
    </row>
    <row r="160" spans="25:27" outlineLevel="1">
      <c r="Y160" s="236">
        <v>6215</v>
      </c>
      <c r="Z160" s="176" t="s">
        <v>311</v>
      </c>
      <c r="AA160" s="176" t="s">
        <v>508</v>
      </c>
    </row>
    <row r="161" spans="23:27" outlineLevel="1">
      <c r="Y161" s="236">
        <v>6800</v>
      </c>
      <c r="Z161" s="176" t="s">
        <v>311</v>
      </c>
      <c r="AA161" s="176" t="s">
        <v>488</v>
      </c>
    </row>
    <row r="162" spans="23:27" outlineLevel="1">
      <c r="Y162" s="236">
        <v>7000</v>
      </c>
      <c r="Z162" s="176" t="s">
        <v>312</v>
      </c>
      <c r="AA162" s="176" t="s">
        <v>510</v>
      </c>
    </row>
    <row r="163" spans="23:27" outlineLevel="1">
      <c r="Y163" s="236">
        <v>7004</v>
      </c>
      <c r="Z163" s="176" t="s">
        <v>312</v>
      </c>
      <c r="AA163" s="176" t="s">
        <v>488</v>
      </c>
    </row>
    <row r="164" spans="23:27" outlineLevel="1">
      <c r="Y164" s="236">
        <v>7200</v>
      </c>
      <c r="Z164" s="176" t="s">
        <v>312</v>
      </c>
      <c r="AA164" s="176" t="s">
        <v>508</v>
      </c>
    </row>
    <row r="165" spans="23:27" outlineLevel="1">
      <c r="Y165" s="236">
        <v>7800</v>
      </c>
      <c r="Z165" s="176" t="s">
        <v>312</v>
      </c>
      <c r="AA165" s="176" t="s">
        <v>488</v>
      </c>
    </row>
    <row r="166" spans="23:27" outlineLevel="1">
      <c r="Y166" s="236">
        <v>7900</v>
      </c>
      <c r="Z166" s="176" t="s">
        <v>312</v>
      </c>
      <c r="AA166" s="176" t="s">
        <v>508</v>
      </c>
    </row>
    <row r="167" spans="23:27" outlineLevel="1">
      <c r="Y167" s="236">
        <v>8000</v>
      </c>
      <c r="Z167" s="176" t="s">
        <v>308</v>
      </c>
      <c r="AA167" s="176" t="s">
        <v>510</v>
      </c>
    </row>
    <row r="168" spans="23:27" outlineLevel="1">
      <c r="Y168" s="236">
        <v>8400</v>
      </c>
      <c r="Z168" s="176" t="s">
        <v>308</v>
      </c>
      <c r="AA168" s="176" t="s">
        <v>488</v>
      </c>
    </row>
    <row r="169" spans="23:27" outlineLevel="1">
      <c r="Y169" s="236">
        <v>8900</v>
      </c>
      <c r="Z169" s="176" t="s">
        <v>308</v>
      </c>
      <c r="AA169" s="176" t="s">
        <v>508</v>
      </c>
    </row>
    <row r="170" spans="23:27" outlineLevel="1">
      <c r="Y170" s="236">
        <v>9000</v>
      </c>
      <c r="Z170" s="176" t="s">
        <v>309</v>
      </c>
      <c r="AA170" s="176" t="s">
        <v>510</v>
      </c>
    </row>
    <row r="171" spans="23:27" outlineLevel="1">
      <c r="Y171" s="236">
        <v>9300</v>
      </c>
      <c r="Z171" s="176" t="s">
        <v>309</v>
      </c>
      <c r="AA171" s="176" t="s">
        <v>508</v>
      </c>
    </row>
    <row r="172" spans="23:27" outlineLevel="1">
      <c r="Y172" s="236">
        <v>9400</v>
      </c>
      <c r="Z172" s="176" t="s">
        <v>309</v>
      </c>
      <c r="AA172" s="176" t="s">
        <v>488</v>
      </c>
    </row>
    <row r="173" spans="23:27">
      <c r="Y173" s="236">
        <v>9597</v>
      </c>
      <c r="Z173" s="176" t="s">
        <v>309</v>
      </c>
      <c r="AA173" s="176" t="s">
        <v>508</v>
      </c>
    </row>
    <row r="175" spans="23:27">
      <c r="W175" s="164">
        <f>W110+1</f>
        <v>14</v>
      </c>
      <c r="X175" s="164" t="s">
        <v>511</v>
      </c>
    </row>
    <row r="176" spans="23:27">
      <c r="Y176" s="169" t="s">
        <v>367</v>
      </c>
      <c r="Z176" s="170">
        <f>COUNTA(Y178:Y180)</f>
        <v>2</v>
      </c>
    </row>
    <row r="177" spans="23:31">
      <c r="Y177" s="171" t="s">
        <v>370</v>
      </c>
      <c r="Z177" s="172" t="s">
        <v>371</v>
      </c>
      <c r="AA177" s="172" t="s">
        <v>372</v>
      </c>
      <c r="AB177" s="172" t="s">
        <v>373</v>
      </c>
      <c r="AC177" s="173" t="s">
        <v>440</v>
      </c>
      <c r="AD177" s="173" t="s">
        <v>375</v>
      </c>
      <c r="AE177" s="174" t="s">
        <v>376</v>
      </c>
    </row>
    <row r="178" spans="23:31">
      <c r="Y178" s="175" t="s">
        <v>380</v>
      </c>
      <c r="Z178" s="176" t="s">
        <v>511</v>
      </c>
      <c r="AA178" s="176" t="s">
        <v>378</v>
      </c>
      <c r="AB178" s="176" t="s">
        <v>382</v>
      </c>
      <c r="AC178" s="177"/>
      <c r="AD178" s="178">
        <v>1</v>
      </c>
      <c r="AE178" s="179"/>
    </row>
    <row r="179" spans="23:31">
      <c r="Y179" s="175" t="s">
        <v>380</v>
      </c>
      <c r="Z179" s="176" t="s">
        <v>511</v>
      </c>
      <c r="AA179" s="176" t="s">
        <v>512</v>
      </c>
      <c r="AB179" s="176" t="s">
        <v>382</v>
      </c>
      <c r="AC179" s="177"/>
      <c r="AD179" s="178">
        <v>1.5</v>
      </c>
      <c r="AE179" s="179"/>
    </row>
    <row r="182" spans="23:31">
      <c r="W182" s="164">
        <f>W175+1</f>
        <v>15</v>
      </c>
      <c r="X182" s="164" t="s">
        <v>513</v>
      </c>
    </row>
    <row r="183" spans="23:31">
      <c r="Y183" s="169" t="s">
        <v>367</v>
      </c>
      <c r="Z183" s="170">
        <f>COUNTA(Y185:Y187)</f>
        <v>2</v>
      </c>
    </row>
    <row r="184" spans="23:31">
      <c r="Y184" s="171" t="s">
        <v>370</v>
      </c>
      <c r="Z184" s="172" t="s">
        <v>371</v>
      </c>
      <c r="AA184" s="172" t="s">
        <v>372</v>
      </c>
      <c r="AB184" s="172" t="s">
        <v>373</v>
      </c>
      <c r="AC184" s="173" t="s">
        <v>440</v>
      </c>
      <c r="AD184" s="173" t="s">
        <v>375</v>
      </c>
      <c r="AE184" s="174" t="s">
        <v>376</v>
      </c>
    </row>
    <row r="185" spans="23:31">
      <c r="Y185" s="175" t="s">
        <v>380</v>
      </c>
      <c r="Z185" s="176" t="s">
        <v>513</v>
      </c>
      <c r="AA185" s="176" t="s">
        <v>514</v>
      </c>
      <c r="AB185" s="176"/>
      <c r="AC185" s="177">
        <v>0</v>
      </c>
      <c r="AD185" s="178">
        <v>1</v>
      </c>
      <c r="AE185" s="179"/>
    </row>
    <row r="186" spans="23:31">
      <c r="Y186" s="175" t="s">
        <v>380</v>
      </c>
      <c r="Z186" s="176" t="s">
        <v>513</v>
      </c>
      <c r="AA186" s="176" t="s">
        <v>514</v>
      </c>
      <c r="AB186" s="176"/>
      <c r="AC186" s="177">
        <v>30.01</v>
      </c>
      <c r="AD186" s="178">
        <v>4.7</v>
      </c>
      <c r="AE186" s="179"/>
    </row>
    <row r="189" spans="23:31">
      <c r="W189" s="164">
        <f>W182+1</f>
        <v>16</v>
      </c>
      <c r="X189" s="164" t="s">
        <v>515</v>
      </c>
    </row>
    <row r="190" spans="23:31">
      <c r="Y190" s="169" t="s">
        <v>367</v>
      </c>
      <c r="Z190" s="170">
        <f>COUNTA(Y192:Y196)</f>
        <v>4</v>
      </c>
    </row>
    <row r="191" spans="23:31">
      <c r="Y191" s="171" t="s">
        <v>370</v>
      </c>
      <c r="Z191" s="172" t="s">
        <v>371</v>
      </c>
      <c r="AA191" s="172" t="s">
        <v>372</v>
      </c>
      <c r="AB191" s="172" t="s">
        <v>373</v>
      </c>
      <c r="AC191" s="173" t="s">
        <v>440</v>
      </c>
      <c r="AD191" s="173" t="s">
        <v>375</v>
      </c>
      <c r="AE191" s="174" t="s">
        <v>376</v>
      </c>
    </row>
    <row r="192" spans="23:31">
      <c r="Y192" s="175" t="s">
        <v>380</v>
      </c>
      <c r="Z192" s="176" t="s">
        <v>515</v>
      </c>
      <c r="AA192" s="176" t="s">
        <v>514</v>
      </c>
      <c r="AB192" s="176" t="s">
        <v>382</v>
      </c>
      <c r="AC192" s="177">
        <v>0</v>
      </c>
      <c r="AD192" s="178">
        <v>1</v>
      </c>
      <c r="AE192" s="179"/>
    </row>
    <row r="193" spans="23:32">
      <c r="Y193" s="175" t="s">
        <v>380</v>
      </c>
      <c r="Z193" s="176" t="s">
        <v>515</v>
      </c>
      <c r="AA193" s="176" t="s">
        <v>514</v>
      </c>
      <c r="AB193" s="176" t="s">
        <v>382</v>
      </c>
      <c r="AC193" s="177">
        <v>30.01</v>
      </c>
      <c r="AD193" s="178">
        <v>2</v>
      </c>
      <c r="AE193" s="179"/>
    </row>
    <row r="194" spans="23:32">
      <c r="Y194" s="175" t="s">
        <v>380</v>
      </c>
      <c r="Z194" s="176" t="s">
        <v>515</v>
      </c>
      <c r="AA194" s="176" t="s">
        <v>514</v>
      </c>
      <c r="AB194" s="176" t="s">
        <v>382</v>
      </c>
      <c r="AC194" s="177">
        <v>60.01</v>
      </c>
      <c r="AD194" s="178">
        <v>4.6500000000000004</v>
      </c>
      <c r="AE194" s="179"/>
    </row>
    <row r="195" spans="23:32">
      <c r="Y195" s="175" t="s">
        <v>380</v>
      </c>
      <c r="Z195" s="176" t="s">
        <v>515</v>
      </c>
      <c r="AA195" s="176" t="s">
        <v>514</v>
      </c>
      <c r="AB195" s="176" t="s">
        <v>382</v>
      </c>
      <c r="AC195" s="177">
        <v>90.01</v>
      </c>
      <c r="AD195" s="178">
        <v>4.7</v>
      </c>
      <c r="AE195" s="179"/>
    </row>
    <row r="197" spans="23:32">
      <c r="W197" s="164">
        <f>W189+1</f>
        <v>17</v>
      </c>
      <c r="X197" s="164" t="s">
        <v>460</v>
      </c>
    </row>
    <row r="198" spans="23:32">
      <c r="Y198" s="169" t="s">
        <v>367</v>
      </c>
      <c r="Z198" s="170">
        <f>COUNTA(Y200:Y203)</f>
        <v>3</v>
      </c>
    </row>
    <row r="199" spans="23:32">
      <c r="Y199" s="171" t="s">
        <v>370</v>
      </c>
      <c r="Z199" s="172" t="s">
        <v>371</v>
      </c>
      <c r="AA199" s="172" t="s">
        <v>372</v>
      </c>
      <c r="AB199" s="172" t="s">
        <v>373</v>
      </c>
      <c r="AC199" s="173" t="s">
        <v>440</v>
      </c>
      <c r="AD199" s="173" t="s">
        <v>375</v>
      </c>
      <c r="AE199" s="174" t="s">
        <v>376</v>
      </c>
    </row>
    <row r="200" spans="23:32">
      <c r="Y200" s="175" t="s">
        <v>380</v>
      </c>
      <c r="Z200" s="176" t="s">
        <v>460</v>
      </c>
      <c r="AA200" s="176" t="s">
        <v>516</v>
      </c>
      <c r="AB200" s="176" t="s">
        <v>382</v>
      </c>
      <c r="AC200" s="177">
        <v>0</v>
      </c>
      <c r="AD200" s="178">
        <v>1</v>
      </c>
      <c r="AE200" s="179"/>
    </row>
    <row r="201" spans="23:32">
      <c r="Y201" s="175" t="s">
        <v>380</v>
      </c>
      <c r="Z201" s="176" t="s">
        <v>460</v>
      </c>
      <c r="AA201" s="176" t="s">
        <v>517</v>
      </c>
      <c r="AB201" s="176" t="s">
        <v>382</v>
      </c>
      <c r="AC201" s="177">
        <v>1</v>
      </c>
      <c r="AD201" s="178">
        <v>2.5</v>
      </c>
      <c r="AE201" s="179"/>
    </row>
    <row r="202" spans="23:32">
      <c r="Y202" s="175" t="s">
        <v>380</v>
      </c>
      <c r="Z202" s="176" t="s">
        <v>460</v>
      </c>
      <c r="AA202" s="176" t="s">
        <v>518</v>
      </c>
      <c r="AB202" s="176" t="s">
        <v>382</v>
      </c>
      <c r="AC202" s="177">
        <v>2</v>
      </c>
      <c r="AD202" s="178">
        <v>3</v>
      </c>
      <c r="AE202" s="179"/>
    </row>
    <row r="203" spans="23:32">
      <c r="Y203" s="169"/>
      <c r="Z203" s="231"/>
      <c r="AA203" s="231"/>
      <c r="AB203" s="231"/>
      <c r="AC203" s="232"/>
      <c r="AD203" s="233"/>
      <c r="AE203" s="234"/>
      <c r="AF203" s="142"/>
    </row>
    <row r="204" spans="23:32">
      <c r="W204" s="164">
        <f>W197+1</f>
        <v>18</v>
      </c>
      <c r="X204" s="164" t="s">
        <v>480</v>
      </c>
    </row>
    <row r="205" spans="23:32">
      <c r="Y205" s="169" t="s">
        <v>367</v>
      </c>
      <c r="Z205" s="170">
        <f>COUNTA(Y207:Y212)</f>
        <v>5</v>
      </c>
    </row>
    <row r="206" spans="23:32">
      <c r="Y206" s="171" t="s">
        <v>370</v>
      </c>
      <c r="Z206" s="172" t="s">
        <v>371</v>
      </c>
      <c r="AA206" s="172" t="s">
        <v>372</v>
      </c>
      <c r="AB206" s="172" t="s">
        <v>373</v>
      </c>
      <c r="AC206" s="173" t="s">
        <v>440</v>
      </c>
      <c r="AD206" s="173" t="s">
        <v>375</v>
      </c>
      <c r="AE206" s="174" t="s">
        <v>376</v>
      </c>
    </row>
    <row r="207" spans="23:32">
      <c r="Y207" s="175" t="s">
        <v>380</v>
      </c>
      <c r="Z207" s="176" t="s">
        <v>480</v>
      </c>
      <c r="AA207" s="176" t="s">
        <v>519</v>
      </c>
      <c r="AB207" s="176" t="s">
        <v>382</v>
      </c>
      <c r="AC207" s="177">
        <v>0</v>
      </c>
      <c r="AD207" s="178">
        <v>1</v>
      </c>
      <c r="AE207" s="179"/>
    </row>
    <row r="208" spans="23:32">
      <c r="Y208" s="175" t="s">
        <v>380</v>
      </c>
      <c r="Z208" s="176" t="s">
        <v>480</v>
      </c>
      <c r="AA208" s="176" t="s">
        <v>520</v>
      </c>
      <c r="AB208" s="176" t="s">
        <v>382</v>
      </c>
      <c r="AC208" s="177">
        <v>2</v>
      </c>
      <c r="AD208" s="178">
        <v>1.1000000000000001</v>
      </c>
      <c r="AE208" s="179"/>
    </row>
    <row r="209" spans="23:31">
      <c r="Y209" s="175" t="s">
        <v>380</v>
      </c>
      <c r="Z209" s="176" t="s">
        <v>480</v>
      </c>
      <c r="AA209" s="176" t="s">
        <v>521</v>
      </c>
      <c r="AB209" s="176"/>
      <c r="AC209" s="177">
        <v>3</v>
      </c>
      <c r="AD209" s="178">
        <v>1.2</v>
      </c>
      <c r="AE209" s="179"/>
    </row>
    <row r="210" spans="23:31">
      <c r="Y210" s="175" t="s">
        <v>380</v>
      </c>
      <c r="Z210" s="176" t="s">
        <v>480</v>
      </c>
      <c r="AA210" s="176" t="s">
        <v>522</v>
      </c>
      <c r="AB210" s="176"/>
      <c r="AC210" s="177">
        <v>4</v>
      </c>
      <c r="AD210" s="178">
        <v>1.5</v>
      </c>
      <c r="AE210" s="179"/>
    </row>
    <row r="211" spans="23:31">
      <c r="Y211" s="175" t="s">
        <v>380</v>
      </c>
      <c r="Z211" s="176" t="s">
        <v>480</v>
      </c>
      <c r="AA211" s="176" t="s">
        <v>523</v>
      </c>
      <c r="AB211" s="176"/>
      <c r="AC211" s="177">
        <v>5</v>
      </c>
      <c r="AD211" s="178">
        <v>2</v>
      </c>
      <c r="AE211" s="179"/>
    </row>
    <row r="213" spans="23:31">
      <c r="W213" s="164">
        <f>W204+1</f>
        <v>19</v>
      </c>
      <c r="X213" s="164" t="s">
        <v>422</v>
      </c>
    </row>
    <row r="214" spans="23:31">
      <c r="Y214" s="169" t="s">
        <v>367</v>
      </c>
      <c r="Z214" s="170">
        <f>COUNTA(Y216:Y219)</f>
        <v>3</v>
      </c>
    </row>
    <row r="215" spans="23:31">
      <c r="Y215" s="171" t="s">
        <v>370</v>
      </c>
      <c r="Z215" s="172" t="s">
        <v>371</v>
      </c>
      <c r="AA215" s="172" t="s">
        <v>372</v>
      </c>
      <c r="AB215" s="172" t="s">
        <v>373</v>
      </c>
      <c r="AC215" s="173" t="s">
        <v>440</v>
      </c>
      <c r="AD215" s="173" t="s">
        <v>375</v>
      </c>
      <c r="AE215" s="174" t="s">
        <v>376</v>
      </c>
    </row>
    <row r="216" spans="23:31">
      <c r="Y216" s="175" t="s">
        <v>380</v>
      </c>
      <c r="Z216" s="176" t="s">
        <v>422</v>
      </c>
      <c r="AA216" s="176" t="s">
        <v>35</v>
      </c>
      <c r="AB216" s="176"/>
      <c r="AC216" s="177">
        <v>18</v>
      </c>
      <c r="AD216" s="178">
        <v>1.2</v>
      </c>
      <c r="AE216" s="179"/>
    </row>
    <row r="217" spans="23:31">
      <c r="Y217" s="175" t="s">
        <v>380</v>
      </c>
      <c r="Z217" s="176" t="s">
        <v>422</v>
      </c>
      <c r="AA217" s="176" t="s">
        <v>36</v>
      </c>
      <c r="AB217" s="176"/>
      <c r="AC217" s="177">
        <v>18</v>
      </c>
      <c r="AD217" s="178">
        <v>1</v>
      </c>
      <c r="AE217" s="179"/>
    </row>
    <row r="218" spans="23:31">
      <c r="Y218" s="175" t="s">
        <v>380</v>
      </c>
      <c r="Z218" s="176" t="s">
        <v>422</v>
      </c>
      <c r="AA218" s="176" t="s">
        <v>455</v>
      </c>
      <c r="AB218" s="176"/>
      <c r="AC218" s="177">
        <v>18</v>
      </c>
      <c r="AD218" s="178">
        <v>1.02</v>
      </c>
      <c r="AE218" s="179"/>
    </row>
    <row r="220" spans="23:31">
      <c r="W220" s="164">
        <f>W213+1</f>
        <v>20</v>
      </c>
      <c r="X220" s="164" t="s">
        <v>524</v>
      </c>
    </row>
    <row r="221" spans="23:31">
      <c r="Y221" s="169" t="s">
        <v>367</v>
      </c>
      <c r="Z221" s="170">
        <f>COUNTA(Y223:Y229)</f>
        <v>6</v>
      </c>
    </row>
    <row r="222" spans="23:31">
      <c r="Y222" s="171" t="s">
        <v>370</v>
      </c>
      <c r="Z222" s="172" t="s">
        <v>371</v>
      </c>
      <c r="AA222" s="172" t="s">
        <v>372</v>
      </c>
      <c r="AB222" s="172" t="s">
        <v>373</v>
      </c>
      <c r="AC222" s="173" t="s">
        <v>440</v>
      </c>
      <c r="AD222" s="173" t="s">
        <v>375</v>
      </c>
      <c r="AE222" s="174" t="s">
        <v>376</v>
      </c>
    </row>
    <row r="223" spans="23:31">
      <c r="Y223" s="175" t="s">
        <v>380</v>
      </c>
      <c r="Z223" s="176" t="s">
        <v>524</v>
      </c>
      <c r="AA223" s="176" t="s">
        <v>525</v>
      </c>
      <c r="AB223" s="176" t="s">
        <v>382</v>
      </c>
      <c r="AC223" s="177">
        <v>0</v>
      </c>
      <c r="AD223" s="178">
        <v>3.2</v>
      </c>
      <c r="AE223" s="179"/>
    </row>
    <row r="224" spans="23:31">
      <c r="Y224" s="175" t="s">
        <v>380</v>
      </c>
      <c r="Z224" s="176" t="s">
        <v>524</v>
      </c>
      <c r="AA224" s="176" t="s">
        <v>525</v>
      </c>
      <c r="AB224" s="176" t="s">
        <v>382</v>
      </c>
      <c r="AC224" s="177">
        <v>12.000999999999999</v>
      </c>
      <c r="AD224" s="178">
        <v>2.5</v>
      </c>
      <c r="AE224" s="179"/>
    </row>
    <row r="225" spans="23:31">
      <c r="Y225" s="175" t="s">
        <v>380</v>
      </c>
      <c r="Z225" s="176" t="s">
        <v>524</v>
      </c>
      <c r="AA225" s="176" t="s">
        <v>525</v>
      </c>
      <c r="AB225" s="176" t="s">
        <v>382</v>
      </c>
      <c r="AC225" s="177">
        <v>24.001000000000001</v>
      </c>
      <c r="AD225" s="178">
        <v>2</v>
      </c>
      <c r="AE225" s="179"/>
    </row>
    <row r="226" spans="23:31">
      <c r="Y226" s="175" t="s">
        <v>380</v>
      </c>
      <c r="Z226" s="176" t="s">
        <v>524</v>
      </c>
      <c r="AA226" s="176" t="s">
        <v>525</v>
      </c>
      <c r="AB226" s="176" t="s">
        <v>382</v>
      </c>
      <c r="AC226" s="177">
        <v>36.000999999999998</v>
      </c>
      <c r="AD226" s="178">
        <v>1.5</v>
      </c>
      <c r="AE226" s="179"/>
    </row>
    <row r="227" spans="23:31">
      <c r="Y227" s="175" t="s">
        <v>380</v>
      </c>
      <c r="Z227" s="176" t="s">
        <v>524</v>
      </c>
      <c r="AA227" s="176" t="s">
        <v>525</v>
      </c>
      <c r="AB227" s="176" t="s">
        <v>382</v>
      </c>
      <c r="AC227" s="177">
        <v>48.000999999999998</v>
      </c>
      <c r="AD227" s="178">
        <v>1.5</v>
      </c>
      <c r="AE227" s="179"/>
    </row>
    <row r="228" spans="23:31">
      <c r="Y228" s="175" t="s">
        <v>380</v>
      </c>
      <c r="Z228" s="176" t="s">
        <v>524</v>
      </c>
      <c r="AA228" s="176" t="s">
        <v>525</v>
      </c>
      <c r="AB228" s="176" t="s">
        <v>382</v>
      </c>
      <c r="AC228" s="177">
        <v>60.000999999999998</v>
      </c>
      <c r="AD228" s="178">
        <v>1</v>
      </c>
      <c r="AE228" s="179"/>
    </row>
    <row r="230" spans="23:31">
      <c r="W230" s="164">
        <f>W220+1</f>
        <v>21</v>
      </c>
      <c r="X230" s="164" t="s">
        <v>526</v>
      </c>
    </row>
    <row r="231" spans="23:31">
      <c r="Y231" s="169" t="s">
        <v>367</v>
      </c>
      <c r="Z231" s="170">
        <f>COUNTA(Y233:Y239)</f>
        <v>6</v>
      </c>
    </row>
    <row r="232" spans="23:31">
      <c r="Y232" s="171" t="s">
        <v>370</v>
      </c>
      <c r="Z232" s="172" t="s">
        <v>371</v>
      </c>
      <c r="AA232" s="172" t="s">
        <v>372</v>
      </c>
      <c r="AB232" s="172" t="s">
        <v>373</v>
      </c>
      <c r="AC232" s="173" t="s">
        <v>440</v>
      </c>
      <c r="AD232" s="173" t="s">
        <v>375</v>
      </c>
      <c r="AE232" s="174" t="s">
        <v>376</v>
      </c>
    </row>
    <row r="233" spans="23:31">
      <c r="Y233" s="175" t="s">
        <v>380</v>
      </c>
      <c r="Z233" s="176" t="s">
        <v>526</v>
      </c>
      <c r="AA233" s="176" t="s">
        <v>527</v>
      </c>
      <c r="AB233" s="176" t="s">
        <v>382</v>
      </c>
      <c r="AC233" s="177">
        <v>0</v>
      </c>
      <c r="AD233" s="178">
        <v>3</v>
      </c>
      <c r="AE233" s="179"/>
    </row>
    <row r="234" spans="23:31">
      <c r="Y234" s="175" t="s">
        <v>380</v>
      </c>
      <c r="Z234" s="176" t="s">
        <v>526</v>
      </c>
      <c r="AA234" s="176" t="s">
        <v>527</v>
      </c>
      <c r="AB234" s="176" t="s">
        <v>382</v>
      </c>
      <c r="AC234" s="177">
        <v>12.000999999999999</v>
      </c>
      <c r="AD234" s="178">
        <v>2</v>
      </c>
      <c r="AE234" s="179"/>
    </row>
    <row r="235" spans="23:31">
      <c r="Y235" s="175" t="s">
        <v>380</v>
      </c>
      <c r="Z235" s="176" t="s">
        <v>526</v>
      </c>
      <c r="AA235" s="176" t="s">
        <v>527</v>
      </c>
      <c r="AB235" s="176" t="s">
        <v>382</v>
      </c>
      <c r="AC235" s="177">
        <v>24.001000000000001</v>
      </c>
      <c r="AD235" s="178">
        <v>1.5</v>
      </c>
      <c r="AE235" s="179"/>
    </row>
    <row r="236" spans="23:31">
      <c r="Y236" s="175" t="s">
        <v>380</v>
      </c>
      <c r="Z236" s="176" t="s">
        <v>526</v>
      </c>
      <c r="AA236" s="176" t="s">
        <v>527</v>
      </c>
      <c r="AB236" s="176" t="s">
        <v>382</v>
      </c>
      <c r="AC236" s="177">
        <v>36.000999999999998</v>
      </c>
      <c r="AD236" s="178">
        <v>1.2</v>
      </c>
      <c r="AE236" s="179"/>
    </row>
    <row r="237" spans="23:31">
      <c r="Y237" s="175" t="s">
        <v>380</v>
      </c>
      <c r="Z237" s="176" t="s">
        <v>526</v>
      </c>
      <c r="AA237" s="176" t="s">
        <v>527</v>
      </c>
      <c r="AB237" s="176" t="s">
        <v>382</v>
      </c>
      <c r="AC237" s="177">
        <v>48.000999999999998</v>
      </c>
      <c r="AD237" s="178">
        <v>1.2</v>
      </c>
      <c r="AE237" s="179"/>
    </row>
    <row r="238" spans="23:31">
      <c r="Y238" s="175" t="s">
        <v>380</v>
      </c>
      <c r="Z238" s="176" t="s">
        <v>526</v>
      </c>
      <c r="AA238" s="176" t="s">
        <v>527</v>
      </c>
      <c r="AB238" s="176" t="s">
        <v>382</v>
      </c>
      <c r="AC238" s="177">
        <v>60.000999999999998</v>
      </c>
      <c r="AD238" s="178">
        <v>1</v>
      </c>
      <c r="AE238" s="179"/>
    </row>
    <row r="241" spans="23:31">
      <c r="W241" s="164">
        <f>W230+1</f>
        <v>22</v>
      </c>
      <c r="X241" s="164" t="s">
        <v>444</v>
      </c>
    </row>
    <row r="242" spans="23:31">
      <c r="Y242" s="169" t="s">
        <v>367</v>
      </c>
      <c r="Z242" s="170">
        <f>COUNTA(Y244:Y252)</f>
        <v>8</v>
      </c>
    </row>
    <row r="243" spans="23:31">
      <c r="Y243" s="171" t="s">
        <v>370</v>
      </c>
      <c r="Z243" s="172" t="s">
        <v>371</v>
      </c>
      <c r="AA243" s="172" t="s">
        <v>372</v>
      </c>
      <c r="AB243" s="172" t="s">
        <v>373</v>
      </c>
      <c r="AC243" s="173" t="s">
        <v>440</v>
      </c>
      <c r="AD243" s="173" t="s">
        <v>375</v>
      </c>
      <c r="AE243" s="174" t="s">
        <v>376</v>
      </c>
    </row>
    <row r="244" spans="23:31">
      <c r="Y244" s="175" t="s">
        <v>380</v>
      </c>
      <c r="Z244" s="176" t="s">
        <v>444</v>
      </c>
      <c r="AA244" s="176" t="s">
        <v>528</v>
      </c>
      <c r="AB244" s="176" t="s">
        <v>382</v>
      </c>
      <c r="AC244" s="177"/>
      <c r="AD244" s="178">
        <v>1.5</v>
      </c>
      <c r="AE244" s="179"/>
    </row>
    <row r="245" spans="23:31">
      <c r="Y245" s="175" t="s">
        <v>380</v>
      </c>
      <c r="Z245" s="176" t="s">
        <v>444</v>
      </c>
      <c r="AA245" s="176" t="s">
        <v>445</v>
      </c>
      <c r="AB245" s="176" t="s">
        <v>382</v>
      </c>
      <c r="AC245" s="177"/>
      <c r="AD245" s="178">
        <v>1</v>
      </c>
      <c r="AE245" s="179"/>
    </row>
    <row r="246" spans="23:31">
      <c r="Y246" s="175" t="s">
        <v>380</v>
      </c>
      <c r="Z246" s="176" t="s">
        <v>444</v>
      </c>
      <c r="AA246" s="176" t="s">
        <v>529</v>
      </c>
      <c r="AB246" s="176" t="s">
        <v>382</v>
      </c>
      <c r="AC246" s="177"/>
      <c r="AD246" s="178">
        <v>1</v>
      </c>
      <c r="AE246" s="179"/>
    </row>
    <row r="247" spans="23:31">
      <c r="Y247" s="175" t="s">
        <v>380</v>
      </c>
      <c r="Z247" s="176" t="s">
        <v>444</v>
      </c>
      <c r="AA247" s="176" t="s">
        <v>530</v>
      </c>
      <c r="AB247" s="176" t="s">
        <v>382</v>
      </c>
      <c r="AC247" s="177"/>
      <c r="AD247" s="178">
        <v>3</v>
      </c>
      <c r="AE247" s="179"/>
    </row>
    <row r="248" spans="23:31">
      <c r="Y248" s="175" t="s">
        <v>380</v>
      </c>
      <c r="Z248" s="176" t="s">
        <v>444</v>
      </c>
      <c r="AA248" s="176" t="s">
        <v>45</v>
      </c>
      <c r="AB248" s="176" t="s">
        <v>382</v>
      </c>
      <c r="AC248" s="177"/>
      <c r="AD248" s="178">
        <v>2</v>
      </c>
      <c r="AE248" s="179"/>
    </row>
    <row r="249" spans="23:31">
      <c r="Y249" s="175" t="s">
        <v>380</v>
      </c>
      <c r="Z249" s="176" t="s">
        <v>444</v>
      </c>
      <c r="AA249" s="176" t="s">
        <v>531</v>
      </c>
      <c r="AB249" s="176" t="s">
        <v>382</v>
      </c>
      <c r="AC249" s="177"/>
      <c r="AD249" s="178">
        <v>1.5</v>
      </c>
      <c r="AE249" s="179"/>
    </row>
    <row r="250" spans="23:31">
      <c r="Y250" s="175" t="s">
        <v>380</v>
      </c>
      <c r="Z250" s="176" t="s">
        <v>444</v>
      </c>
      <c r="AA250" s="176" t="s">
        <v>532</v>
      </c>
      <c r="AB250" s="176" t="s">
        <v>382</v>
      </c>
      <c r="AC250" s="177"/>
      <c r="AD250" s="178">
        <v>4</v>
      </c>
      <c r="AE250" s="179"/>
    </row>
    <row r="251" spans="23:31">
      <c r="Y251" s="175" t="s">
        <v>380</v>
      </c>
      <c r="Z251" s="176" t="s">
        <v>444</v>
      </c>
      <c r="AA251" s="176" t="s">
        <v>455</v>
      </c>
      <c r="AB251" s="176" t="s">
        <v>533</v>
      </c>
      <c r="AC251" s="177"/>
      <c r="AD251" s="178">
        <v>1.5</v>
      </c>
      <c r="AE251" s="179"/>
    </row>
    <row r="253" spans="23:31">
      <c r="W253" s="164">
        <f>W241+1</f>
        <v>23</v>
      </c>
      <c r="X253" s="164" t="s">
        <v>534</v>
      </c>
      <c r="Y253" s="164"/>
    </row>
    <row r="254" spans="23:31">
      <c r="Y254" s="169" t="s">
        <v>367</v>
      </c>
      <c r="Z254" s="170">
        <f>COUNTA(Y256:Y264)</f>
        <v>6</v>
      </c>
    </row>
    <row r="255" spans="23:31">
      <c r="Y255" s="171" t="s">
        <v>370</v>
      </c>
      <c r="Z255" s="172" t="s">
        <v>371</v>
      </c>
      <c r="AA255" s="172" t="s">
        <v>535</v>
      </c>
      <c r="AB255" s="172" t="s">
        <v>536</v>
      </c>
      <c r="AC255" s="173" t="s">
        <v>440</v>
      </c>
      <c r="AD255" s="173" t="s">
        <v>375</v>
      </c>
      <c r="AE255" s="174" t="s">
        <v>376</v>
      </c>
    </row>
    <row r="256" spans="23:31">
      <c r="Y256" s="175" t="s">
        <v>380</v>
      </c>
      <c r="Z256" s="176" t="s">
        <v>476</v>
      </c>
      <c r="AA256" s="176" t="s">
        <v>35</v>
      </c>
      <c r="AB256" s="176" t="s">
        <v>35</v>
      </c>
      <c r="AC256" s="177"/>
      <c r="AD256" s="178">
        <v>1.1000000000000001</v>
      </c>
      <c r="AE256" s="179"/>
    </row>
    <row r="257" spans="23:31">
      <c r="Y257" s="175" t="s">
        <v>380</v>
      </c>
      <c r="Z257" s="176" t="s">
        <v>476</v>
      </c>
      <c r="AA257" s="176" t="s">
        <v>36</v>
      </c>
      <c r="AB257" s="176" t="s">
        <v>35</v>
      </c>
      <c r="AC257" s="177"/>
      <c r="AD257" s="178">
        <v>1.05</v>
      </c>
      <c r="AE257" s="179"/>
    </row>
    <row r="258" spans="23:31">
      <c r="Y258" s="175" t="s">
        <v>380</v>
      </c>
      <c r="Z258" s="176" t="s">
        <v>476</v>
      </c>
      <c r="AA258" s="176" t="s">
        <v>35</v>
      </c>
      <c r="AB258" s="176" t="s">
        <v>36</v>
      </c>
      <c r="AC258" s="177"/>
      <c r="AD258" s="178">
        <v>1.05</v>
      </c>
      <c r="AE258" s="179"/>
    </row>
    <row r="259" spans="23:31">
      <c r="Y259" s="175" t="s">
        <v>380</v>
      </c>
      <c r="Z259" s="176" t="s">
        <v>476</v>
      </c>
      <c r="AA259" s="176" t="s">
        <v>36</v>
      </c>
      <c r="AB259" s="176" t="s">
        <v>36</v>
      </c>
      <c r="AC259" s="177"/>
      <c r="AD259" s="178">
        <v>1</v>
      </c>
      <c r="AE259" s="179"/>
    </row>
    <row r="262" spans="23:31">
      <c r="W262" s="164">
        <f>W253+1</f>
        <v>24</v>
      </c>
      <c r="X262" s="164" t="s">
        <v>433</v>
      </c>
    </row>
    <row r="263" spans="23:31">
      <c r="Y263" s="169" t="s">
        <v>367</v>
      </c>
      <c r="Z263" s="170">
        <f>COUNTA(Y265:Y286)</f>
        <v>21</v>
      </c>
    </row>
    <row r="264" spans="23:31">
      <c r="Y264" s="171" t="s">
        <v>370</v>
      </c>
      <c r="Z264" s="172" t="s">
        <v>371</v>
      </c>
      <c r="AA264" s="172" t="s">
        <v>372</v>
      </c>
      <c r="AB264" s="172" t="s">
        <v>373</v>
      </c>
      <c r="AC264" s="173" t="s">
        <v>440</v>
      </c>
      <c r="AD264" s="173" t="s">
        <v>375</v>
      </c>
      <c r="AE264" s="174" t="s">
        <v>376</v>
      </c>
    </row>
    <row r="265" spans="23:31">
      <c r="Y265" s="175" t="s">
        <v>380</v>
      </c>
      <c r="Z265" s="176" t="s">
        <v>433</v>
      </c>
      <c r="AA265" s="176" t="s">
        <v>537</v>
      </c>
      <c r="AB265" s="176" t="s">
        <v>538</v>
      </c>
      <c r="AC265" s="177"/>
      <c r="AD265" s="178">
        <v>1</v>
      </c>
      <c r="AE265" s="179">
        <v>1</v>
      </c>
    </row>
    <row r="266" spans="23:31">
      <c r="Y266" s="175" t="s">
        <v>380</v>
      </c>
      <c r="Z266" s="176" t="s">
        <v>433</v>
      </c>
      <c r="AA266" s="176" t="s">
        <v>539</v>
      </c>
      <c r="AB266" s="176" t="s">
        <v>538</v>
      </c>
      <c r="AC266" s="177"/>
      <c r="AD266" s="178">
        <v>1.5</v>
      </c>
      <c r="AE266" s="179">
        <v>1.25</v>
      </c>
    </row>
    <row r="267" spans="23:31">
      <c r="Y267" s="175" t="s">
        <v>380</v>
      </c>
      <c r="Z267" s="176" t="s">
        <v>433</v>
      </c>
      <c r="AA267" s="176" t="s">
        <v>540</v>
      </c>
      <c r="AB267" s="176" t="s">
        <v>538</v>
      </c>
      <c r="AC267" s="177"/>
      <c r="AD267" s="178">
        <v>1</v>
      </c>
      <c r="AE267" s="179">
        <v>1</v>
      </c>
    </row>
    <row r="268" spans="23:31">
      <c r="Y268" s="175" t="s">
        <v>380</v>
      </c>
      <c r="Z268" s="176" t="s">
        <v>433</v>
      </c>
      <c r="AA268" s="176" t="s">
        <v>541</v>
      </c>
      <c r="AB268" s="176" t="s">
        <v>538</v>
      </c>
      <c r="AC268" s="177"/>
      <c r="AD268" s="178">
        <v>1</v>
      </c>
      <c r="AE268" s="179">
        <v>1</v>
      </c>
    </row>
    <row r="269" spans="23:31">
      <c r="Y269" s="175" t="s">
        <v>380</v>
      </c>
      <c r="Z269" s="176" t="s">
        <v>433</v>
      </c>
      <c r="AA269" s="176" t="s">
        <v>455</v>
      </c>
      <c r="AB269" s="176" t="s">
        <v>538</v>
      </c>
      <c r="AC269" s="177"/>
      <c r="AD269" s="178">
        <v>1</v>
      </c>
      <c r="AE269" s="179">
        <v>1</v>
      </c>
    </row>
    <row r="270" spans="23:31">
      <c r="Y270" s="175" t="s">
        <v>380</v>
      </c>
      <c r="Z270" s="176" t="s">
        <v>433</v>
      </c>
      <c r="AA270" s="176" t="s">
        <v>542</v>
      </c>
      <c r="AB270" s="176" t="s">
        <v>538</v>
      </c>
      <c r="AC270" s="177"/>
      <c r="AD270" s="178">
        <v>1</v>
      </c>
      <c r="AE270" s="179">
        <v>1</v>
      </c>
    </row>
    <row r="271" spans="23:31">
      <c r="Y271" s="175" t="s">
        <v>380</v>
      </c>
      <c r="Z271" s="176" t="s">
        <v>433</v>
      </c>
      <c r="AA271" s="176" t="s">
        <v>458</v>
      </c>
      <c r="AB271" s="176" t="s">
        <v>538</v>
      </c>
      <c r="AC271" s="177"/>
      <c r="AD271" s="178">
        <v>1</v>
      </c>
      <c r="AE271" s="179">
        <v>1</v>
      </c>
    </row>
    <row r="272" spans="23:31">
      <c r="Y272" s="175" t="s">
        <v>380</v>
      </c>
      <c r="Z272" s="176" t="s">
        <v>433</v>
      </c>
      <c r="AA272" s="176" t="s">
        <v>543</v>
      </c>
      <c r="AB272" s="176" t="s">
        <v>538</v>
      </c>
      <c r="AC272" s="177"/>
      <c r="AD272" s="178">
        <v>1.2</v>
      </c>
      <c r="AE272" s="179">
        <v>1</v>
      </c>
    </row>
    <row r="273" spans="23:31">
      <c r="Y273" s="175" t="s">
        <v>380</v>
      </c>
      <c r="Z273" s="176" t="s">
        <v>433</v>
      </c>
      <c r="AA273" s="176" t="s">
        <v>544</v>
      </c>
      <c r="AB273" s="176" t="s">
        <v>538</v>
      </c>
      <c r="AC273" s="177"/>
      <c r="AD273" s="178">
        <v>1.2</v>
      </c>
      <c r="AE273" s="179">
        <v>1</v>
      </c>
    </row>
    <row r="274" spans="23:31">
      <c r="Y274" s="175" t="s">
        <v>380</v>
      </c>
      <c r="Z274" s="176" t="s">
        <v>433</v>
      </c>
      <c r="AA274" s="176" t="s">
        <v>545</v>
      </c>
      <c r="AB274" s="176" t="s">
        <v>538</v>
      </c>
      <c r="AC274" s="177"/>
      <c r="AD274" s="178">
        <v>1</v>
      </c>
      <c r="AE274" s="179">
        <v>1</v>
      </c>
    </row>
    <row r="275" spans="23:31">
      <c r="Y275" s="175" t="s">
        <v>380</v>
      </c>
      <c r="Z275" s="176" t="s">
        <v>433</v>
      </c>
      <c r="AA275" s="176" t="s">
        <v>537</v>
      </c>
      <c r="AB275" s="176" t="s">
        <v>365</v>
      </c>
      <c r="AC275" s="177"/>
      <c r="AD275" s="178">
        <v>1</v>
      </c>
      <c r="AE275" s="179">
        <v>1</v>
      </c>
    </row>
    <row r="276" spans="23:31">
      <c r="Y276" s="175" t="s">
        <v>380</v>
      </c>
      <c r="Z276" s="176" t="s">
        <v>433</v>
      </c>
      <c r="AA276" s="176" t="s">
        <v>539</v>
      </c>
      <c r="AB276" s="176" t="s">
        <v>365</v>
      </c>
      <c r="AC276" s="177"/>
      <c r="AD276" s="178">
        <v>1.5</v>
      </c>
      <c r="AE276" s="179">
        <v>1.25</v>
      </c>
    </row>
    <row r="277" spans="23:31">
      <c r="Y277" s="175" t="s">
        <v>380</v>
      </c>
      <c r="Z277" s="176" t="s">
        <v>433</v>
      </c>
      <c r="AA277" s="176" t="s">
        <v>540</v>
      </c>
      <c r="AB277" s="176" t="s">
        <v>365</v>
      </c>
      <c r="AC277" s="177"/>
      <c r="AD277" s="178">
        <v>1</v>
      </c>
      <c r="AE277" s="179">
        <v>1</v>
      </c>
    </row>
    <row r="278" spans="23:31">
      <c r="Y278" s="175" t="s">
        <v>380</v>
      </c>
      <c r="Z278" s="176" t="s">
        <v>433</v>
      </c>
      <c r="AA278" s="176" t="s">
        <v>541</v>
      </c>
      <c r="AB278" s="176" t="s">
        <v>365</v>
      </c>
      <c r="AC278" s="177"/>
      <c r="AD278" s="178">
        <v>1</v>
      </c>
      <c r="AE278" s="179">
        <v>1</v>
      </c>
    </row>
    <row r="279" spans="23:31">
      <c r="Y279" s="175" t="s">
        <v>380</v>
      </c>
      <c r="Z279" s="176" t="s">
        <v>433</v>
      </c>
      <c r="AA279" s="176" t="s">
        <v>455</v>
      </c>
      <c r="AB279" s="176" t="s">
        <v>365</v>
      </c>
      <c r="AC279" s="177"/>
      <c r="AD279" s="178">
        <v>1</v>
      </c>
      <c r="AE279" s="179">
        <v>1</v>
      </c>
    </row>
    <row r="280" spans="23:31">
      <c r="Y280" s="175" t="s">
        <v>380</v>
      </c>
      <c r="Z280" s="176" t="s">
        <v>433</v>
      </c>
      <c r="AA280" s="176" t="s">
        <v>542</v>
      </c>
      <c r="AB280" s="176" t="s">
        <v>365</v>
      </c>
      <c r="AC280" s="177"/>
      <c r="AD280" s="178">
        <v>1</v>
      </c>
      <c r="AE280" s="179">
        <v>1</v>
      </c>
    </row>
    <row r="281" spans="23:31">
      <c r="Y281" s="175" t="s">
        <v>380</v>
      </c>
      <c r="Z281" s="176" t="s">
        <v>433</v>
      </c>
      <c r="AA281" s="176" t="s">
        <v>458</v>
      </c>
      <c r="AB281" s="176" t="s">
        <v>365</v>
      </c>
      <c r="AC281" s="177"/>
      <c r="AD281" s="178">
        <v>1</v>
      </c>
      <c r="AE281" s="179">
        <v>1</v>
      </c>
    </row>
    <row r="282" spans="23:31">
      <c r="Y282" s="175" t="s">
        <v>380</v>
      </c>
      <c r="Z282" s="176" t="s">
        <v>433</v>
      </c>
      <c r="AA282" s="176" t="s">
        <v>543</v>
      </c>
      <c r="AB282" s="176" t="s">
        <v>365</v>
      </c>
      <c r="AC282" s="177"/>
      <c r="AD282" s="178">
        <v>1.5</v>
      </c>
      <c r="AE282" s="179">
        <v>1</v>
      </c>
    </row>
    <row r="283" spans="23:31">
      <c r="Y283" s="175" t="s">
        <v>380</v>
      </c>
      <c r="Z283" s="176" t="s">
        <v>433</v>
      </c>
      <c r="AA283" s="176" t="s">
        <v>544</v>
      </c>
      <c r="AB283" s="176" t="s">
        <v>365</v>
      </c>
      <c r="AC283" s="177"/>
      <c r="AD283" s="178">
        <v>1.5</v>
      </c>
      <c r="AE283" s="179">
        <v>1</v>
      </c>
    </row>
    <row r="284" spans="23:31">
      <c r="Y284" s="175" t="s">
        <v>380</v>
      </c>
      <c r="Z284" s="176" t="s">
        <v>433</v>
      </c>
      <c r="AA284" s="176" t="s">
        <v>546</v>
      </c>
      <c r="AB284" s="176" t="s">
        <v>365</v>
      </c>
      <c r="AC284" s="177"/>
      <c r="AD284" s="178">
        <v>1.5</v>
      </c>
      <c r="AE284" s="179">
        <v>1</v>
      </c>
    </row>
    <row r="285" spans="23:31">
      <c r="Y285" s="175" t="s">
        <v>380</v>
      </c>
      <c r="Z285" s="176" t="s">
        <v>433</v>
      </c>
      <c r="AA285" s="176" t="s">
        <v>545</v>
      </c>
      <c r="AB285" s="176" t="s">
        <v>365</v>
      </c>
      <c r="AC285" s="177"/>
      <c r="AD285" s="178">
        <v>1</v>
      </c>
      <c r="AE285" s="179">
        <v>1</v>
      </c>
    </row>
    <row r="288" spans="23:31">
      <c r="W288" s="164">
        <f>W262+1</f>
        <v>25</v>
      </c>
      <c r="X288" s="164" t="s">
        <v>547</v>
      </c>
    </row>
    <row r="289" spans="23:31">
      <c r="Y289" t="s">
        <v>367</v>
      </c>
      <c r="Z289">
        <f>COUNTA(Y291:Y297)</f>
        <v>6</v>
      </c>
    </row>
    <row r="290" spans="23:31">
      <c r="Y290" s="171" t="s">
        <v>370</v>
      </c>
      <c r="Z290" s="172" t="s">
        <v>371</v>
      </c>
      <c r="AA290" s="172" t="s">
        <v>372</v>
      </c>
      <c r="AB290" s="172" t="s">
        <v>373</v>
      </c>
      <c r="AC290" s="173" t="s">
        <v>440</v>
      </c>
      <c r="AD290" s="173" t="s">
        <v>375</v>
      </c>
      <c r="AE290" s="174" t="s">
        <v>376</v>
      </c>
    </row>
    <row r="291" spans="23:31">
      <c r="Y291" s="175" t="s">
        <v>380</v>
      </c>
      <c r="Z291" s="176" t="s">
        <v>547</v>
      </c>
      <c r="AA291" s="176" t="s">
        <v>548</v>
      </c>
      <c r="AB291" s="176" t="s">
        <v>382</v>
      </c>
      <c r="AC291" s="237">
        <v>0</v>
      </c>
      <c r="AD291" s="178"/>
      <c r="AE291" s="179">
        <v>1</v>
      </c>
    </row>
    <row r="292" spans="23:31">
      <c r="Y292" s="175" t="s">
        <v>380</v>
      </c>
      <c r="Z292" s="176" t="s">
        <v>547</v>
      </c>
      <c r="AA292" s="176" t="s">
        <v>549</v>
      </c>
      <c r="AB292" s="176" t="s">
        <v>382</v>
      </c>
      <c r="AC292" s="237">
        <v>1000001</v>
      </c>
      <c r="AD292" s="178"/>
      <c r="AE292" s="179">
        <v>1.2</v>
      </c>
    </row>
    <row r="293" spans="23:31">
      <c r="Y293" s="175" t="s">
        <v>380</v>
      </c>
      <c r="Z293" s="176" t="s">
        <v>547</v>
      </c>
      <c r="AA293" s="176" t="s">
        <v>550</v>
      </c>
      <c r="AB293" s="176" t="s">
        <v>382</v>
      </c>
      <c r="AC293" s="237">
        <v>1500001</v>
      </c>
      <c r="AD293" s="178"/>
      <c r="AE293" s="179">
        <v>1.2250000000000001</v>
      </c>
    </row>
    <row r="294" spans="23:31">
      <c r="Y294" s="175" t="s">
        <v>380</v>
      </c>
      <c r="Z294" s="176" t="s">
        <v>547</v>
      </c>
      <c r="AA294" s="176" t="s">
        <v>551</v>
      </c>
      <c r="AB294" s="176" t="s">
        <v>382</v>
      </c>
      <c r="AC294" s="237">
        <v>2000001</v>
      </c>
      <c r="AD294" s="178"/>
      <c r="AE294" s="179">
        <v>1.25</v>
      </c>
    </row>
    <row r="295" spans="23:31">
      <c r="Y295" s="175" t="s">
        <v>380</v>
      </c>
      <c r="Z295" s="176" t="s">
        <v>547</v>
      </c>
      <c r="AA295" s="176" t="s">
        <v>552</v>
      </c>
      <c r="AB295" s="176" t="s">
        <v>382</v>
      </c>
      <c r="AC295" s="237">
        <v>2500001</v>
      </c>
      <c r="AD295" s="178"/>
      <c r="AE295" s="179">
        <v>1.2749999999999999</v>
      </c>
    </row>
    <row r="296" spans="23:31">
      <c r="Y296" s="175" t="s">
        <v>380</v>
      </c>
      <c r="Z296" s="176" t="s">
        <v>547</v>
      </c>
      <c r="AA296" s="176" t="s">
        <v>553</v>
      </c>
      <c r="AB296" s="176" t="s">
        <v>382</v>
      </c>
      <c r="AC296" s="237">
        <v>3000001</v>
      </c>
      <c r="AD296" s="178"/>
      <c r="AE296" s="179">
        <v>1.3</v>
      </c>
    </row>
    <row r="298" spans="23:31">
      <c r="W298" s="164">
        <f>W288+1</f>
        <v>26</v>
      </c>
      <c r="X298" s="164" t="s">
        <v>420</v>
      </c>
    </row>
    <row r="299" spans="23:31">
      <c r="Y299" t="s">
        <v>367</v>
      </c>
      <c r="Z299">
        <f>COUNTA(Y301:Y304)</f>
        <v>3</v>
      </c>
    </row>
    <row r="300" spans="23:31">
      <c r="Y300" s="171" t="s">
        <v>370</v>
      </c>
      <c r="Z300" s="172" t="s">
        <v>371</v>
      </c>
      <c r="AA300" s="172" t="s">
        <v>372</v>
      </c>
      <c r="AB300" s="172" t="s">
        <v>373</v>
      </c>
      <c r="AC300" s="173" t="s">
        <v>440</v>
      </c>
      <c r="AD300" s="173" t="s">
        <v>375</v>
      </c>
      <c r="AE300" s="174" t="s">
        <v>376</v>
      </c>
    </row>
    <row r="301" spans="23:31">
      <c r="Y301" s="175" t="s">
        <v>380</v>
      </c>
      <c r="Z301" s="176" t="s">
        <v>420</v>
      </c>
      <c r="AA301" s="176" t="s">
        <v>488</v>
      </c>
      <c r="AB301" s="176" t="s">
        <v>382</v>
      </c>
      <c r="AC301" s="237"/>
      <c r="AD301" s="178"/>
      <c r="AE301" s="179">
        <v>1</v>
      </c>
    </row>
    <row r="302" spans="23:31">
      <c r="Y302" s="175" t="s">
        <v>380</v>
      </c>
      <c r="Z302" s="176" t="s">
        <v>420</v>
      </c>
      <c r="AA302" s="176" t="s">
        <v>502</v>
      </c>
      <c r="AB302" s="176" t="s">
        <v>382</v>
      </c>
      <c r="AC302" s="237"/>
      <c r="AD302" s="178"/>
      <c r="AE302" s="179">
        <v>1</v>
      </c>
    </row>
    <row r="303" spans="23:31">
      <c r="Y303" s="175" t="s">
        <v>380</v>
      </c>
      <c r="Z303" s="176" t="s">
        <v>420</v>
      </c>
      <c r="AA303" s="176" t="s">
        <v>501</v>
      </c>
      <c r="AB303" s="176" t="s">
        <v>382</v>
      </c>
      <c r="AC303" s="237"/>
      <c r="AD303" s="178"/>
      <c r="AE303" s="179">
        <v>1.25</v>
      </c>
    </row>
    <row r="305" spans="23:32">
      <c r="W305">
        <f>W298+1</f>
        <v>27</v>
      </c>
      <c r="X305" s="164" t="s">
        <v>554</v>
      </c>
    </row>
    <row r="307" spans="23:32">
      <c r="Y307" s="171" t="s">
        <v>370</v>
      </c>
      <c r="Z307" s="172" t="s">
        <v>371</v>
      </c>
      <c r="AA307" s="172" t="s">
        <v>372</v>
      </c>
      <c r="AB307" s="172" t="s">
        <v>373</v>
      </c>
      <c r="AC307" s="173" t="s">
        <v>440</v>
      </c>
      <c r="AD307" s="173" t="s">
        <v>555</v>
      </c>
      <c r="AE307" s="174" t="s">
        <v>556</v>
      </c>
    </row>
    <row r="308" spans="23:32">
      <c r="Y308" s="175" t="s">
        <v>380</v>
      </c>
      <c r="Z308" s="176" t="s">
        <v>554</v>
      </c>
      <c r="AA308" s="176" t="s">
        <v>394</v>
      </c>
      <c r="AB308" s="176" t="s">
        <v>382</v>
      </c>
      <c r="AC308" s="237"/>
      <c r="AD308" s="178" t="s">
        <v>455</v>
      </c>
      <c r="AE308" s="179">
        <v>0.05</v>
      </c>
    </row>
    <row r="309" spans="23:32">
      <c r="Y309" s="175" t="s">
        <v>380</v>
      </c>
      <c r="Z309" s="176" t="s">
        <v>554</v>
      </c>
      <c r="AA309" s="176" t="s">
        <v>557</v>
      </c>
      <c r="AB309" s="176" t="s">
        <v>382</v>
      </c>
      <c r="AC309" s="237"/>
      <c r="AD309" s="178" t="s">
        <v>455</v>
      </c>
      <c r="AE309" s="179">
        <v>5000</v>
      </c>
    </row>
    <row r="310" spans="23:32">
      <c r="Y310" s="169"/>
      <c r="Z310" s="231"/>
      <c r="AA310" s="231"/>
      <c r="AB310" s="231"/>
      <c r="AC310" s="238"/>
      <c r="AD310" s="233"/>
      <c r="AE310" s="234"/>
      <c r="AF310" s="142"/>
    </row>
    <row r="311" spans="23:32">
      <c r="W311">
        <f>W305+1</f>
        <v>28</v>
      </c>
      <c r="X311" s="164" t="s">
        <v>446</v>
      </c>
      <c r="Y311" s="169"/>
      <c r="Z311" s="231"/>
      <c r="AA311" s="231"/>
      <c r="AB311" s="231"/>
      <c r="AC311" s="238"/>
      <c r="AD311" s="233"/>
      <c r="AE311" s="234"/>
      <c r="AF311" s="142"/>
    </row>
    <row r="312" spans="23:32">
      <c r="Y312" s="169" t="s">
        <v>367</v>
      </c>
      <c r="Z312">
        <f>COUNTA(Y314:Y323)</f>
        <v>9</v>
      </c>
    </row>
    <row r="313" spans="23:32">
      <c r="Y313" s="171" t="s">
        <v>370</v>
      </c>
      <c r="Z313" s="172" t="s">
        <v>371</v>
      </c>
      <c r="AA313" s="172" t="s">
        <v>372</v>
      </c>
      <c r="AB313" s="172" t="s">
        <v>373</v>
      </c>
      <c r="AC313" s="173" t="s">
        <v>440</v>
      </c>
      <c r="AD313" s="173" t="s">
        <v>555</v>
      </c>
      <c r="AE313" s="174" t="s">
        <v>556</v>
      </c>
    </row>
    <row r="314" spans="23:32">
      <c r="Y314" s="175" t="s">
        <v>380</v>
      </c>
      <c r="Z314" s="176" t="s">
        <v>446</v>
      </c>
      <c r="AA314" s="176" t="s">
        <v>488</v>
      </c>
      <c r="AB314" s="176" t="s">
        <v>558</v>
      </c>
      <c r="AC314" s="237">
        <v>1000000</v>
      </c>
      <c r="AD314" s="178" t="s">
        <v>455</v>
      </c>
      <c r="AE314" s="179">
        <v>18</v>
      </c>
    </row>
    <row r="315" spans="23:32">
      <c r="Y315" s="175" t="s">
        <v>380</v>
      </c>
      <c r="Z315" s="176" t="s">
        <v>446</v>
      </c>
      <c r="AA315" s="176" t="s">
        <v>502</v>
      </c>
      <c r="AB315" s="176" t="s">
        <v>558</v>
      </c>
      <c r="AC315" s="237">
        <v>1000000</v>
      </c>
      <c r="AD315" s="178" t="s">
        <v>455</v>
      </c>
      <c r="AE315" s="179">
        <v>24</v>
      </c>
    </row>
    <row r="316" spans="23:32" ht="16" thickBot="1">
      <c r="Y316" s="184" t="s">
        <v>380</v>
      </c>
      <c r="Z316" s="185" t="s">
        <v>446</v>
      </c>
      <c r="AA316" s="185" t="s">
        <v>501</v>
      </c>
      <c r="AB316" s="185" t="s">
        <v>558</v>
      </c>
      <c r="AC316" s="239">
        <v>1000000</v>
      </c>
      <c r="AD316" s="187" t="s">
        <v>455</v>
      </c>
      <c r="AE316" s="188">
        <v>18</v>
      </c>
    </row>
    <row r="317" spans="23:32">
      <c r="Y317" s="240" t="s">
        <v>380</v>
      </c>
      <c r="Z317" s="241" t="s">
        <v>446</v>
      </c>
      <c r="AA317" s="241" t="s">
        <v>488</v>
      </c>
      <c r="AB317" s="241" t="s">
        <v>539</v>
      </c>
      <c r="AC317" s="242"/>
      <c r="AD317" s="243" t="s">
        <v>455</v>
      </c>
      <c r="AE317" s="244">
        <v>18</v>
      </c>
    </row>
    <row r="318" spans="23:32">
      <c r="Y318" s="175" t="s">
        <v>380</v>
      </c>
      <c r="Z318" s="176" t="s">
        <v>446</v>
      </c>
      <c r="AA318" s="176" t="s">
        <v>502</v>
      </c>
      <c r="AB318" s="176" t="s">
        <v>539</v>
      </c>
      <c r="AC318" s="237"/>
      <c r="AD318" s="178" t="s">
        <v>455</v>
      </c>
      <c r="AE318" s="179">
        <v>24</v>
      </c>
    </row>
    <row r="319" spans="23:32">
      <c r="Y319" s="175" t="s">
        <v>380</v>
      </c>
      <c r="Z319" s="176" t="s">
        <v>446</v>
      </c>
      <c r="AA319" s="176" t="s">
        <v>501</v>
      </c>
      <c r="AB319" s="176" t="s">
        <v>539</v>
      </c>
      <c r="AC319" s="237"/>
      <c r="AD319" s="178" t="s">
        <v>455</v>
      </c>
      <c r="AE319" s="179">
        <v>18</v>
      </c>
    </row>
    <row r="320" spans="23:32">
      <c r="Y320" s="175" t="s">
        <v>380</v>
      </c>
      <c r="Z320" s="176" t="s">
        <v>446</v>
      </c>
      <c r="AA320" s="176" t="s">
        <v>488</v>
      </c>
      <c r="AB320" s="176" t="s">
        <v>559</v>
      </c>
      <c r="AC320" s="237"/>
      <c r="AD320" s="178" t="s">
        <v>455</v>
      </c>
      <c r="AE320" s="179">
        <v>12</v>
      </c>
    </row>
    <row r="321" spans="23:31">
      <c r="Y321" s="175" t="s">
        <v>380</v>
      </c>
      <c r="Z321" s="176" t="s">
        <v>446</v>
      </c>
      <c r="AA321" s="176" t="s">
        <v>502</v>
      </c>
      <c r="AB321" s="176" t="s">
        <v>559</v>
      </c>
      <c r="AC321" s="237"/>
      <c r="AD321" s="178" t="s">
        <v>455</v>
      </c>
      <c r="AE321" s="179">
        <v>18</v>
      </c>
    </row>
    <row r="322" spans="23:31">
      <c r="Y322" s="175" t="s">
        <v>380</v>
      </c>
      <c r="Z322" s="176" t="s">
        <v>446</v>
      </c>
      <c r="AA322" s="176" t="s">
        <v>501</v>
      </c>
      <c r="AB322" s="176" t="s">
        <v>559</v>
      </c>
      <c r="AC322" s="237"/>
      <c r="AD322" s="178" t="s">
        <v>455</v>
      </c>
      <c r="AE322" s="179">
        <v>12</v>
      </c>
    </row>
    <row r="325" spans="23:31">
      <c r="W325" s="164">
        <f>W311+1</f>
        <v>29</v>
      </c>
      <c r="X325" s="164" t="s">
        <v>560</v>
      </c>
      <c r="Y325" s="164"/>
    </row>
    <row r="326" spans="23:31">
      <c r="Y326" s="169" t="s">
        <v>367</v>
      </c>
      <c r="Z326">
        <f>COUNTA(Y328:Y344)</f>
        <v>16</v>
      </c>
    </row>
    <row r="327" spans="23:31">
      <c r="Y327" s="171" t="s">
        <v>370</v>
      </c>
      <c r="Z327" s="172" t="s">
        <v>372</v>
      </c>
      <c r="AA327" s="172" t="s">
        <v>373</v>
      </c>
      <c r="AB327" s="173" t="s">
        <v>555</v>
      </c>
      <c r="AC327" s="173" t="s">
        <v>561</v>
      </c>
      <c r="AD327" s="174" t="s">
        <v>562</v>
      </c>
      <c r="AE327" s="174" t="s">
        <v>556</v>
      </c>
    </row>
    <row r="328" spans="23:31">
      <c r="Y328" s="175" t="s">
        <v>380</v>
      </c>
      <c r="Z328" s="176" t="s">
        <v>382</v>
      </c>
      <c r="AA328" s="176" t="s">
        <v>382</v>
      </c>
      <c r="AB328" s="237" t="s">
        <v>465</v>
      </c>
      <c r="AC328" s="245">
        <v>0.1</v>
      </c>
      <c r="AD328" s="246">
        <v>0.05</v>
      </c>
      <c r="AE328" s="246">
        <v>0.45</v>
      </c>
    </row>
    <row r="329" spans="23:31">
      <c r="Y329" s="175" t="s">
        <v>380</v>
      </c>
      <c r="Z329" s="176" t="s">
        <v>382</v>
      </c>
      <c r="AA329" s="176" t="s">
        <v>382</v>
      </c>
      <c r="AB329" s="237" t="s">
        <v>563</v>
      </c>
      <c r="AC329" s="245">
        <v>8.7499999999999994E-2</v>
      </c>
      <c r="AD329" s="246">
        <v>4.6699999999999998E-2</v>
      </c>
      <c r="AE329" s="246">
        <v>0.44</v>
      </c>
    </row>
    <row r="330" spans="23:31">
      <c r="Y330" s="175" t="s">
        <v>380</v>
      </c>
      <c r="Z330" s="176" t="s">
        <v>382</v>
      </c>
      <c r="AA330" s="176" t="s">
        <v>382</v>
      </c>
      <c r="AB330" s="237" t="s">
        <v>564</v>
      </c>
      <c r="AC330" s="245">
        <v>7.4999999999999997E-2</v>
      </c>
      <c r="AD330" s="246">
        <v>4.4999999999999998E-2</v>
      </c>
      <c r="AE330" s="246">
        <v>0.43</v>
      </c>
    </row>
    <row r="331" spans="23:31">
      <c r="Y331" s="175" t="s">
        <v>380</v>
      </c>
      <c r="Z331" s="176" t="s">
        <v>382</v>
      </c>
      <c r="AA331" s="176" t="s">
        <v>382</v>
      </c>
      <c r="AB331" s="237" t="s">
        <v>565</v>
      </c>
      <c r="AC331" s="245">
        <v>6.6666666666666666E-2</v>
      </c>
      <c r="AD331" s="246">
        <v>4.3299999999999998E-2</v>
      </c>
      <c r="AE331" s="246">
        <v>0.42333333333333328</v>
      </c>
    </row>
    <row r="332" spans="23:31">
      <c r="Y332" s="175" t="s">
        <v>380</v>
      </c>
      <c r="Z332" s="176" t="s">
        <v>382</v>
      </c>
      <c r="AA332" s="176" t="s">
        <v>382</v>
      </c>
      <c r="AB332" s="237" t="s">
        <v>566</v>
      </c>
      <c r="AC332" s="245">
        <v>5.8333333333333334E-2</v>
      </c>
      <c r="AD332" s="246">
        <v>4.1700000000000001E-2</v>
      </c>
      <c r="AE332" s="246">
        <v>0.41666666666666663</v>
      </c>
    </row>
    <row r="333" spans="23:31">
      <c r="Y333" s="175" t="s">
        <v>380</v>
      </c>
      <c r="Z333" s="176" t="s">
        <v>382</v>
      </c>
      <c r="AA333" s="176" t="s">
        <v>382</v>
      </c>
      <c r="AB333" s="237" t="s">
        <v>567</v>
      </c>
      <c r="AC333" s="245">
        <v>0.05</v>
      </c>
      <c r="AD333" s="246">
        <v>0.04</v>
      </c>
      <c r="AE333" s="246">
        <v>0.41</v>
      </c>
    </row>
    <row r="334" spans="23:31">
      <c r="Y334" s="175" t="s">
        <v>380</v>
      </c>
      <c r="Z334" s="176" t="s">
        <v>382</v>
      </c>
      <c r="AA334" s="176" t="s">
        <v>382</v>
      </c>
      <c r="AB334" s="237" t="s">
        <v>568</v>
      </c>
      <c r="AC334" s="245">
        <v>4.3999999999999997E-2</v>
      </c>
      <c r="AD334" s="246">
        <v>3.8300000000000001E-2</v>
      </c>
      <c r="AE334" s="246">
        <v>0.4</v>
      </c>
    </row>
    <row r="335" spans="23:31">
      <c r="Y335" s="175" t="s">
        <v>380</v>
      </c>
      <c r="Z335" s="176" t="s">
        <v>382</v>
      </c>
      <c r="AA335" s="176" t="s">
        <v>382</v>
      </c>
      <c r="AB335" s="237" t="s">
        <v>569</v>
      </c>
      <c r="AC335" s="245">
        <v>3.7999999999999999E-2</v>
      </c>
      <c r="AD335" s="246">
        <v>3.6700000000000003E-2</v>
      </c>
      <c r="AE335" s="246">
        <v>0.39</v>
      </c>
    </row>
    <row r="336" spans="23:31">
      <c r="Y336" s="175" t="s">
        <v>380</v>
      </c>
      <c r="Z336" s="176" t="s">
        <v>382</v>
      </c>
      <c r="AA336" s="176" t="s">
        <v>382</v>
      </c>
      <c r="AB336" s="237" t="s">
        <v>570</v>
      </c>
      <c r="AC336" s="245">
        <v>3.2000000000000001E-2</v>
      </c>
      <c r="AD336" s="246">
        <v>3.5000000000000003E-2</v>
      </c>
      <c r="AE336" s="246">
        <v>0.38</v>
      </c>
    </row>
    <row r="337" spans="23:31">
      <c r="Y337" s="175" t="s">
        <v>380</v>
      </c>
      <c r="Z337" s="176" t="s">
        <v>382</v>
      </c>
      <c r="AA337" s="176" t="s">
        <v>382</v>
      </c>
      <c r="AB337" s="237" t="s">
        <v>571</v>
      </c>
      <c r="AC337" s="245">
        <v>2.8333333333333332E-2</v>
      </c>
      <c r="AD337" s="246">
        <v>3.3300000000000003E-2</v>
      </c>
      <c r="AE337" s="246">
        <v>0.36666666666666664</v>
      </c>
    </row>
    <row r="338" spans="23:31">
      <c r="Y338" s="175" t="s">
        <v>380</v>
      </c>
      <c r="Z338" s="176" t="s">
        <v>382</v>
      </c>
      <c r="AA338" s="176" t="s">
        <v>382</v>
      </c>
      <c r="AB338" s="237" t="s">
        <v>572</v>
      </c>
      <c r="AC338" s="245">
        <v>2.4666666666666667E-2</v>
      </c>
      <c r="AD338" s="246">
        <v>3.1699999999999999E-2</v>
      </c>
      <c r="AE338" s="246">
        <v>0.35333333333333333</v>
      </c>
    </row>
    <row r="339" spans="23:31">
      <c r="Y339" s="175" t="s">
        <v>380</v>
      </c>
      <c r="Z339" s="176" t="s">
        <v>382</v>
      </c>
      <c r="AA339" s="176" t="s">
        <v>382</v>
      </c>
      <c r="AB339" s="237" t="s">
        <v>573</v>
      </c>
      <c r="AC339" s="245">
        <v>2.1000000000000001E-2</v>
      </c>
      <c r="AD339" s="246">
        <v>0.03</v>
      </c>
      <c r="AE339" s="246">
        <v>0.34</v>
      </c>
    </row>
    <row r="340" spans="23:31">
      <c r="Y340" s="175" t="s">
        <v>380</v>
      </c>
      <c r="Z340" s="176" t="s">
        <v>382</v>
      </c>
      <c r="AA340" s="176" t="s">
        <v>382</v>
      </c>
      <c r="AB340" s="237" t="s">
        <v>574</v>
      </c>
      <c r="AC340" s="245">
        <v>1.7666666666666667E-2</v>
      </c>
      <c r="AD340" s="246">
        <v>2.8299999999999999E-2</v>
      </c>
      <c r="AE340" s="246">
        <v>0.32666666666666672</v>
      </c>
    </row>
    <row r="341" spans="23:31">
      <c r="Y341" s="175" t="s">
        <v>380</v>
      </c>
      <c r="Z341" s="176" t="s">
        <v>382</v>
      </c>
      <c r="AA341" s="176" t="s">
        <v>382</v>
      </c>
      <c r="AB341" s="237" t="s">
        <v>575</v>
      </c>
      <c r="AC341" s="245">
        <v>1.4333333333333333E-2</v>
      </c>
      <c r="AD341" s="246">
        <v>2.6700000000000002E-2</v>
      </c>
      <c r="AE341" s="246">
        <v>0.31333333333333335</v>
      </c>
    </row>
    <row r="342" spans="23:31">
      <c r="Y342" s="175" t="s">
        <v>380</v>
      </c>
      <c r="Z342" s="176" t="s">
        <v>382</v>
      </c>
      <c r="AA342" s="176" t="s">
        <v>382</v>
      </c>
      <c r="AB342" s="237" t="s">
        <v>576</v>
      </c>
      <c r="AC342" s="245">
        <v>1.0999999999999999E-2</v>
      </c>
      <c r="AD342" s="246">
        <v>2.5000000000000001E-2</v>
      </c>
      <c r="AE342" s="246">
        <v>0.3</v>
      </c>
    </row>
    <row r="343" spans="23:31">
      <c r="Y343" s="175" t="s">
        <v>380</v>
      </c>
      <c r="Z343" s="176" t="s">
        <v>382</v>
      </c>
      <c r="AA343" s="176" t="s">
        <v>382</v>
      </c>
      <c r="AB343" s="237" t="s">
        <v>577</v>
      </c>
      <c r="AC343" s="245">
        <v>7.4999999999999997E-3</v>
      </c>
      <c r="AD343" s="246">
        <v>2.3300000000000001E-2</v>
      </c>
      <c r="AE343" s="246">
        <v>0.28666666666666663</v>
      </c>
    </row>
    <row r="345" spans="23:31">
      <c r="W345">
        <f>W325+1</f>
        <v>30</v>
      </c>
      <c r="X345" s="169" t="s">
        <v>578</v>
      </c>
    </row>
    <row r="346" spans="23:31">
      <c r="Y346" s="169" t="s">
        <v>367</v>
      </c>
      <c r="Z346">
        <f>COUNTA(Y348:Y353)</f>
        <v>4</v>
      </c>
    </row>
    <row r="347" spans="23:31">
      <c r="Y347" s="171" t="s">
        <v>370</v>
      </c>
      <c r="Z347" s="172" t="s">
        <v>371</v>
      </c>
      <c r="AA347" s="172" t="s">
        <v>579</v>
      </c>
      <c r="AB347" s="172" t="s">
        <v>373</v>
      </c>
      <c r="AC347" s="173" t="s">
        <v>440</v>
      </c>
      <c r="AD347" s="173" t="s">
        <v>555</v>
      </c>
      <c r="AE347" s="174" t="s">
        <v>556</v>
      </c>
    </row>
    <row r="348" spans="23:31">
      <c r="Y348" s="175" t="s">
        <v>380</v>
      </c>
      <c r="Z348" s="176" t="s">
        <v>580</v>
      </c>
      <c r="AA348" s="176">
        <v>0</v>
      </c>
      <c r="AB348" s="176" t="s">
        <v>382</v>
      </c>
      <c r="AC348" s="237">
        <v>0</v>
      </c>
      <c r="AD348" s="245" t="s">
        <v>455</v>
      </c>
      <c r="AE348" s="246">
        <v>0</v>
      </c>
    </row>
    <row r="349" spans="23:31">
      <c r="Y349" s="175" t="s">
        <v>380</v>
      </c>
      <c r="Z349" s="176" t="s">
        <v>580</v>
      </c>
      <c r="AA349" s="176">
        <v>0</v>
      </c>
      <c r="AB349" s="176" t="s">
        <v>382</v>
      </c>
      <c r="AC349" s="237">
        <v>30.01</v>
      </c>
      <c r="AD349" s="245" t="s">
        <v>455</v>
      </c>
      <c r="AE349" s="246">
        <v>1</v>
      </c>
    </row>
    <row r="350" spans="23:31">
      <c r="Y350" s="175" t="s">
        <v>380</v>
      </c>
      <c r="Z350" s="176" t="s">
        <v>581</v>
      </c>
      <c r="AA350" s="176">
        <v>6.01</v>
      </c>
      <c r="AB350" s="176" t="s">
        <v>382</v>
      </c>
      <c r="AC350" s="237">
        <v>0</v>
      </c>
      <c r="AD350" s="245" t="s">
        <v>455</v>
      </c>
      <c r="AE350" s="246">
        <v>0</v>
      </c>
    </row>
    <row r="351" spans="23:31">
      <c r="Y351" s="175" t="s">
        <v>380</v>
      </c>
      <c r="Z351" s="176" t="s">
        <v>581</v>
      </c>
      <c r="AA351" s="176">
        <v>6.01</v>
      </c>
      <c r="AB351" s="176" t="s">
        <v>382</v>
      </c>
      <c r="AC351" s="237">
        <v>90.01</v>
      </c>
      <c r="AD351" s="245" t="s">
        <v>455</v>
      </c>
      <c r="AE351" s="246">
        <v>1</v>
      </c>
    </row>
  </sheetData>
  <conditionalFormatting sqref="E10:E59">
    <cfRule type="cellIs" dxfId="0" priority="3" operator="lessThan">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sheetPr>
  <dimension ref="A1:T34"/>
  <sheetViews>
    <sheetView topLeftCell="A8" zoomScale="175" zoomScaleNormal="175" workbookViewId="0">
      <selection activeCell="J12" sqref="J12"/>
    </sheetView>
  </sheetViews>
  <sheetFormatPr baseColWidth="10" defaultColWidth="9.1640625" defaultRowHeight="15"/>
  <cols>
    <col min="1" max="1" width="2.83203125" style="1" customWidth="1"/>
    <col min="2" max="2" width="9.1640625" style="1"/>
    <col min="3" max="3" width="0.1640625" style="1" customWidth="1"/>
    <col min="4" max="4" width="9.1640625" style="1"/>
    <col min="5" max="5" width="0.1640625" style="1" customWidth="1"/>
    <col min="6" max="6" width="10.83203125" style="1" bestFit="1" customWidth="1"/>
    <col min="7" max="7" width="0.1640625" style="1" customWidth="1"/>
    <col min="8" max="8" width="9.1640625" style="1"/>
    <col min="9" max="9" width="0.1640625" style="1" customWidth="1"/>
    <col min="10" max="10" width="12.83203125" style="1" bestFit="1" customWidth="1"/>
    <col min="11" max="11" width="0.1640625" style="1" customWidth="1"/>
    <col min="12" max="12" width="11.83203125" style="1" bestFit="1" customWidth="1"/>
    <col min="13" max="13" width="0.1640625" style="1" customWidth="1"/>
    <col min="14" max="14" width="11" style="1" bestFit="1" customWidth="1"/>
    <col min="15" max="15" width="0.1640625" style="1" customWidth="1"/>
    <col min="16" max="16" width="11" style="1" bestFit="1" customWidth="1"/>
    <col min="17" max="17" width="0.1640625" style="1" customWidth="1"/>
    <col min="18" max="18" width="11" style="1" bestFit="1" customWidth="1"/>
    <col min="19" max="19" width="0.1640625" style="1" customWidth="1"/>
    <col min="20" max="20" width="9.1640625" style="1"/>
    <col min="21" max="21" width="0.1640625" style="1" customWidth="1"/>
    <col min="22" max="16384" width="9.1640625" style="1"/>
  </cols>
  <sheetData>
    <row r="1" spans="1:20" ht="16" hidden="1" thickBot="1"/>
    <row r="2" spans="1:20" hidden="1">
      <c r="B2" s="74" t="s">
        <v>221</v>
      </c>
      <c r="C2" s="64"/>
      <c r="D2" s="64"/>
      <c r="E2" s="65"/>
      <c r="F2" s="66"/>
      <c r="G2" s="65"/>
      <c r="H2" s="67"/>
      <c r="I2" s="65"/>
      <c r="J2" s="68"/>
      <c r="K2" s="69"/>
      <c r="L2" s="70"/>
      <c r="M2" s="71"/>
      <c r="N2" s="72"/>
      <c r="O2" s="71"/>
      <c r="P2" s="72"/>
      <c r="Q2" s="64"/>
      <c r="R2" s="73"/>
    </row>
    <row r="3" spans="1:20" hidden="1">
      <c r="B3" s="112" t="s">
        <v>245</v>
      </c>
      <c r="C3" s="2"/>
      <c r="D3" s="2"/>
      <c r="E3" s="2"/>
      <c r="F3" s="2"/>
      <c r="G3" s="2"/>
      <c r="H3" s="2"/>
      <c r="I3" s="2"/>
      <c r="J3" s="2"/>
      <c r="K3" s="2"/>
      <c r="L3" s="2"/>
      <c r="M3" s="2"/>
      <c r="N3" s="2"/>
      <c r="O3" s="2"/>
      <c r="P3" s="2"/>
      <c r="Q3" s="2"/>
      <c r="R3" s="59"/>
    </row>
    <row r="4" spans="1:20" hidden="1">
      <c r="B4" s="60"/>
      <c r="C4" s="2"/>
      <c r="D4" s="100" t="s">
        <v>208</v>
      </c>
      <c r="E4" s="29" t="s">
        <v>205</v>
      </c>
      <c r="F4" s="55"/>
      <c r="G4" s="41"/>
      <c r="H4" s="99" t="s">
        <v>200</v>
      </c>
      <c r="I4" s="29" t="s">
        <v>206</v>
      </c>
      <c r="J4" s="56"/>
      <c r="K4" s="40"/>
      <c r="L4" s="50"/>
      <c r="M4" s="31"/>
      <c r="N4" s="99" t="s">
        <v>217</v>
      </c>
      <c r="O4" s="29" t="s">
        <v>207</v>
      </c>
      <c r="P4" s="57"/>
      <c r="Q4" s="2"/>
      <c r="R4" s="59"/>
    </row>
    <row r="5" spans="1:20" hidden="1">
      <c r="B5" s="60"/>
      <c r="C5" s="2"/>
      <c r="D5" s="2"/>
      <c r="E5" s="2"/>
      <c r="G5" s="41"/>
      <c r="H5" s="51"/>
      <c r="I5" s="41"/>
      <c r="J5" s="52"/>
      <c r="K5" s="40"/>
      <c r="L5" s="50"/>
      <c r="M5" s="31"/>
      <c r="N5" s="46"/>
      <c r="O5" s="31"/>
      <c r="P5" s="46"/>
      <c r="Q5" s="2"/>
      <c r="R5" s="59"/>
    </row>
    <row r="6" spans="1:20" hidden="1">
      <c r="B6" s="60"/>
      <c r="C6" s="2"/>
      <c r="D6" s="111" t="s">
        <v>209</v>
      </c>
      <c r="E6" s="2"/>
      <c r="F6" s="80" t="str">
        <f>IFERROR((365.25/(P4-VLOOKUP(J4,Console!$BM$3:$BN$5,2,FALSE)))*F4,"")</f>
        <v/>
      </c>
      <c r="G6" s="2"/>
      <c r="H6" s="2"/>
      <c r="I6" s="2"/>
      <c r="J6" s="2"/>
      <c r="K6" s="2"/>
      <c r="L6" s="2"/>
      <c r="M6" s="2"/>
      <c r="N6" s="2"/>
      <c r="O6" s="2"/>
      <c r="P6" s="2"/>
      <c r="Q6" s="2"/>
      <c r="R6" s="59"/>
    </row>
    <row r="7" spans="1:20" ht="16" hidden="1" thickBot="1">
      <c r="B7" s="61"/>
      <c r="C7" s="62"/>
      <c r="D7" s="62"/>
      <c r="E7" s="62"/>
      <c r="F7" s="62"/>
      <c r="G7" s="62"/>
      <c r="H7" s="62"/>
      <c r="I7" s="62"/>
      <c r="J7" s="62"/>
      <c r="K7" s="62"/>
      <c r="L7" s="62"/>
      <c r="M7" s="62"/>
      <c r="N7" s="62"/>
      <c r="O7" s="62"/>
      <c r="P7" s="62"/>
      <c r="Q7" s="62"/>
      <c r="R7" s="63"/>
    </row>
    <row r="8" spans="1:20" ht="16" thickBot="1">
      <c r="B8" s="477"/>
      <c r="C8" s="477"/>
      <c r="D8" s="477"/>
      <c r="E8" s="477"/>
      <c r="F8" s="477"/>
      <c r="G8" s="477"/>
      <c r="H8" s="477"/>
      <c r="I8" s="477"/>
      <c r="J8" s="477"/>
      <c r="K8" s="477"/>
      <c r="L8" s="477"/>
      <c r="M8" s="477"/>
      <c r="N8" s="477"/>
      <c r="O8" s="477"/>
      <c r="P8" s="477"/>
      <c r="Q8" s="477"/>
      <c r="R8" s="477"/>
    </row>
    <row r="9" spans="1:20">
      <c r="A9" s="469"/>
      <c r="B9" s="475" t="s">
        <v>220</v>
      </c>
      <c r="C9" s="475"/>
      <c r="D9" s="475"/>
      <c r="E9" s="475"/>
      <c r="F9" s="475"/>
      <c r="G9" s="475"/>
      <c r="H9" s="475"/>
      <c r="I9" s="475"/>
      <c r="J9" s="475"/>
      <c r="K9" s="475"/>
      <c r="L9" s="475"/>
      <c r="M9" s="475"/>
      <c r="N9" s="475"/>
      <c r="O9" s="475"/>
      <c r="P9" s="475"/>
      <c r="Q9" s="475"/>
      <c r="R9" s="476"/>
    </row>
    <row r="10" spans="1:20">
      <c r="A10" s="469"/>
      <c r="B10" s="478" t="s">
        <v>8</v>
      </c>
      <c r="C10" s="2"/>
      <c r="D10" s="2"/>
      <c r="E10" s="2"/>
      <c r="F10" s="2"/>
      <c r="G10" s="2"/>
      <c r="H10" s="98"/>
      <c r="I10" s="119" t="s">
        <v>745</v>
      </c>
      <c r="J10" s="79" t="s">
        <v>708</v>
      </c>
      <c r="K10" s="406" t="s">
        <v>746</v>
      </c>
      <c r="L10" s="79" t="s">
        <v>709</v>
      </c>
      <c r="M10" s="406" t="s">
        <v>747</v>
      </c>
      <c r="N10" s="79" t="s">
        <v>710</v>
      </c>
      <c r="O10" s="79"/>
      <c r="P10" s="79" t="s">
        <v>711</v>
      </c>
      <c r="Q10" s="79"/>
      <c r="R10" s="464" t="s">
        <v>712</v>
      </c>
    </row>
    <row r="11" spans="1:20" hidden="1">
      <c r="A11" s="469"/>
      <c r="B11" s="478" t="s">
        <v>279</v>
      </c>
      <c r="C11" s="2"/>
      <c r="D11" s="2"/>
      <c r="E11" s="2"/>
      <c r="F11" s="2"/>
      <c r="G11" s="2"/>
      <c r="H11" s="98"/>
      <c r="I11" s="119" t="s">
        <v>15</v>
      </c>
      <c r="J11" s="374"/>
      <c r="K11" s="375" t="s">
        <v>15</v>
      </c>
      <c r="L11" s="374"/>
      <c r="M11" s="375" t="s">
        <v>13</v>
      </c>
      <c r="N11" s="374"/>
      <c r="O11" s="376"/>
      <c r="P11" s="374"/>
      <c r="Q11" s="376"/>
      <c r="R11" s="465"/>
      <c r="S11" s="2"/>
    </row>
    <row r="12" spans="1:20">
      <c r="A12" s="469"/>
      <c r="B12" s="478" t="s">
        <v>336</v>
      </c>
      <c r="C12" s="2"/>
      <c r="D12" s="2"/>
      <c r="E12" s="2"/>
      <c r="F12" s="2"/>
      <c r="G12" s="2"/>
      <c r="H12" s="98"/>
      <c r="I12" s="119"/>
      <c r="J12" s="458"/>
      <c r="K12" s="375"/>
      <c r="L12" s="458"/>
      <c r="M12" s="375"/>
      <c r="N12" s="458"/>
      <c r="O12" s="376"/>
      <c r="P12" s="458"/>
      <c r="Q12" s="376"/>
      <c r="R12" s="466"/>
      <c r="S12" s="2"/>
    </row>
    <row r="13" spans="1:20">
      <c r="A13" s="469"/>
      <c r="B13" s="2"/>
      <c r="C13" s="2"/>
      <c r="D13" s="2"/>
      <c r="E13" s="2"/>
      <c r="F13" s="2"/>
      <c r="G13" s="2"/>
      <c r="H13" s="2"/>
      <c r="I13" s="2"/>
      <c r="J13" s="120">
        <f>IF(J12="Company",1,0)</f>
        <v>0</v>
      </c>
      <c r="K13" s="120">
        <f t="shared" ref="K13:R13" si="0">IF(K12="Company",1,0)</f>
        <v>0</v>
      </c>
      <c r="L13" s="120">
        <f t="shared" si="0"/>
        <v>0</v>
      </c>
      <c r="M13" s="120">
        <f t="shared" si="0"/>
        <v>0</v>
      </c>
      <c r="N13" s="120">
        <f t="shared" si="0"/>
        <v>0</v>
      </c>
      <c r="O13" s="120">
        <f t="shared" si="0"/>
        <v>0</v>
      </c>
      <c r="P13" s="120">
        <f t="shared" si="0"/>
        <v>0</v>
      </c>
      <c r="Q13" s="120">
        <f t="shared" si="0"/>
        <v>0</v>
      </c>
      <c r="R13" s="467">
        <f t="shared" si="0"/>
        <v>0</v>
      </c>
      <c r="S13" s="139"/>
      <c r="T13" s="138">
        <f>SUM(J13:R13)</f>
        <v>0</v>
      </c>
    </row>
    <row r="14" spans="1:20" hidden="1">
      <c r="A14" s="469"/>
      <c r="B14" s="479" t="s">
        <v>228</v>
      </c>
      <c r="C14" s="2"/>
      <c r="D14" s="2"/>
      <c r="E14" s="2"/>
      <c r="F14" s="2"/>
      <c r="G14" s="2"/>
      <c r="H14" s="2"/>
      <c r="I14" s="2"/>
      <c r="J14" s="120">
        <f>IF(OR(J12="Partnership",J12="Sole Trader"),1,0)</f>
        <v>0</v>
      </c>
      <c r="K14" s="120">
        <f t="shared" ref="K14:R14" si="1">IF(OR(K12="Partnership",K12="Sole Trader"),1,0)</f>
        <v>0</v>
      </c>
      <c r="L14" s="120">
        <f t="shared" si="1"/>
        <v>0</v>
      </c>
      <c r="M14" s="120">
        <f t="shared" si="1"/>
        <v>0</v>
      </c>
      <c r="N14" s="120">
        <f t="shared" si="1"/>
        <v>0</v>
      </c>
      <c r="O14" s="120">
        <f t="shared" si="1"/>
        <v>0</v>
      </c>
      <c r="P14" s="120">
        <f t="shared" si="1"/>
        <v>0</v>
      </c>
      <c r="Q14" s="120">
        <f t="shared" si="1"/>
        <v>0</v>
      </c>
      <c r="R14" s="467">
        <f t="shared" si="1"/>
        <v>0</v>
      </c>
      <c r="S14" s="140"/>
      <c r="T14" s="138">
        <f>SUM(J14:R14)</f>
        <v>0</v>
      </c>
    </row>
    <row r="15" spans="1:20" hidden="1">
      <c r="A15" s="469"/>
      <c r="B15" s="480" t="s">
        <v>223</v>
      </c>
      <c r="C15" s="2"/>
      <c r="D15" s="2"/>
      <c r="E15" s="2"/>
      <c r="F15" s="2"/>
      <c r="G15" s="2"/>
      <c r="H15" s="2"/>
      <c r="I15" s="2"/>
      <c r="J15" s="459"/>
      <c r="K15" s="377"/>
      <c r="L15" s="459"/>
      <c r="M15" s="377"/>
      <c r="N15" s="459"/>
      <c r="O15" s="377"/>
      <c r="P15" s="459"/>
      <c r="Q15" s="377"/>
      <c r="R15" s="468"/>
    </row>
    <row r="16" spans="1:20" hidden="1">
      <c r="A16" s="469"/>
      <c r="B16" s="480" t="s">
        <v>224</v>
      </c>
      <c r="C16" s="2"/>
      <c r="D16" s="2"/>
      <c r="E16" s="2"/>
      <c r="F16" s="2"/>
      <c r="G16" s="2"/>
      <c r="H16" s="2"/>
      <c r="I16" s="2"/>
      <c r="J16" s="459"/>
      <c r="K16" s="377"/>
      <c r="L16" s="459"/>
      <c r="M16" s="377"/>
      <c r="N16" s="459"/>
      <c r="O16" s="377"/>
      <c r="P16" s="459"/>
      <c r="Q16" s="377"/>
      <c r="R16" s="468"/>
    </row>
    <row r="17" spans="1:18" hidden="1">
      <c r="A17" s="469"/>
      <c r="B17" s="480" t="s">
        <v>222</v>
      </c>
      <c r="C17" s="2"/>
      <c r="D17" s="2"/>
      <c r="E17" s="2"/>
      <c r="F17" s="2"/>
      <c r="G17" s="2"/>
      <c r="H17" s="2"/>
      <c r="I17" s="2"/>
      <c r="J17" s="459"/>
      <c r="K17" s="377"/>
      <c r="L17" s="459"/>
      <c r="M17" s="377"/>
      <c r="N17" s="459"/>
      <c r="O17" s="377"/>
      <c r="P17" s="459"/>
      <c r="Q17" s="377"/>
      <c r="R17" s="468"/>
    </row>
    <row r="18" spans="1:18" hidden="1">
      <c r="A18" s="469"/>
      <c r="B18" s="2"/>
      <c r="C18" s="2"/>
      <c r="D18" s="2"/>
      <c r="E18" s="2"/>
      <c r="F18" s="2"/>
      <c r="G18" s="2"/>
      <c r="H18" s="2"/>
      <c r="I18" s="2"/>
      <c r="J18" s="2"/>
      <c r="K18" s="2"/>
      <c r="L18" s="2"/>
      <c r="M18" s="2"/>
      <c r="N18" s="2"/>
      <c r="O18" s="2"/>
      <c r="P18" s="2"/>
      <c r="Q18" s="2"/>
      <c r="R18" s="469"/>
    </row>
    <row r="19" spans="1:18" hidden="1">
      <c r="A19" s="469"/>
      <c r="B19" s="479" t="s">
        <v>229</v>
      </c>
      <c r="C19" s="2"/>
      <c r="D19" s="2"/>
      <c r="E19" s="2"/>
      <c r="F19" s="2"/>
      <c r="G19" s="2"/>
      <c r="H19" s="2"/>
      <c r="I19" s="2"/>
      <c r="J19" s="31"/>
      <c r="K19" s="31"/>
      <c r="L19" s="31"/>
      <c r="M19" s="31"/>
      <c r="N19" s="31"/>
      <c r="O19" s="31"/>
      <c r="P19" s="31"/>
      <c r="Q19" s="31"/>
      <c r="R19" s="470"/>
    </row>
    <row r="20" spans="1:18" hidden="1">
      <c r="A20" s="469"/>
      <c r="B20" s="480" t="s">
        <v>226</v>
      </c>
      <c r="C20" s="2"/>
      <c r="D20" s="2"/>
      <c r="E20" s="2"/>
      <c r="F20" s="2"/>
      <c r="G20" s="2"/>
      <c r="H20" s="2"/>
      <c r="I20" s="2"/>
      <c r="J20" s="459"/>
      <c r="K20" s="377"/>
      <c r="L20" s="459"/>
      <c r="M20" s="377"/>
      <c r="N20" s="459"/>
      <c r="O20" s="377"/>
      <c r="P20" s="459"/>
      <c r="Q20" s="377"/>
      <c r="R20" s="468"/>
    </row>
    <row r="21" spans="1:18" hidden="1">
      <c r="A21" s="469"/>
      <c r="B21" s="480" t="s">
        <v>225</v>
      </c>
      <c r="C21" s="2"/>
      <c r="D21" s="2"/>
      <c r="E21" s="2"/>
      <c r="F21" s="2"/>
      <c r="G21" s="2"/>
      <c r="H21" s="2"/>
      <c r="I21" s="2"/>
      <c r="J21" s="459"/>
      <c r="K21" s="377"/>
      <c r="L21" s="459"/>
      <c r="M21" s="377"/>
      <c r="N21" s="459"/>
      <c r="O21" s="377"/>
      <c r="P21" s="459"/>
      <c r="Q21" s="377"/>
      <c r="R21" s="468"/>
    </row>
    <row r="22" spans="1:18" hidden="1">
      <c r="A22" s="469"/>
      <c r="B22" s="480" t="s">
        <v>227</v>
      </c>
      <c r="C22" s="2"/>
      <c r="D22" s="2"/>
      <c r="E22" s="2"/>
      <c r="F22" s="2"/>
      <c r="G22" s="2"/>
      <c r="H22" s="2"/>
      <c r="I22" s="2"/>
      <c r="J22" s="459"/>
      <c r="K22" s="377"/>
      <c r="L22" s="459"/>
      <c r="M22" s="377"/>
      <c r="N22" s="459"/>
      <c r="O22" s="377"/>
      <c r="P22" s="459"/>
      <c r="Q22" s="377"/>
      <c r="R22" s="468"/>
    </row>
    <row r="23" spans="1:18" hidden="1">
      <c r="A23" s="469"/>
      <c r="B23" s="480" t="s">
        <v>222</v>
      </c>
      <c r="C23" s="2"/>
      <c r="D23" s="2"/>
      <c r="E23" s="2"/>
      <c r="F23" s="2"/>
      <c r="G23" s="2"/>
      <c r="H23" s="2"/>
      <c r="I23" s="2"/>
      <c r="J23" s="460"/>
      <c r="K23" s="378"/>
      <c r="L23" s="460"/>
      <c r="M23" s="378"/>
      <c r="N23" s="460"/>
      <c r="O23" s="378"/>
      <c r="P23" s="460"/>
      <c r="Q23" s="378"/>
      <c r="R23" s="471"/>
    </row>
    <row r="24" spans="1:18" hidden="1">
      <c r="A24" s="469"/>
      <c r="B24" s="481"/>
      <c r="C24" s="2"/>
      <c r="D24" s="2"/>
      <c r="E24" s="2"/>
      <c r="F24" s="2"/>
      <c r="G24" s="2"/>
      <c r="H24" s="2"/>
      <c r="I24" s="2"/>
      <c r="J24" s="2"/>
      <c r="K24" s="2"/>
      <c r="L24" s="2"/>
      <c r="M24" s="2"/>
      <c r="N24" s="2"/>
      <c r="O24" s="2"/>
      <c r="P24" s="2"/>
      <c r="Q24" s="2"/>
      <c r="R24" s="469"/>
    </row>
    <row r="25" spans="1:18" ht="30.75" hidden="1" customHeight="1" thickBot="1">
      <c r="A25" s="469"/>
      <c r="B25" s="504" t="s">
        <v>281</v>
      </c>
      <c r="C25" s="504"/>
      <c r="D25" s="504"/>
      <c r="E25" s="504"/>
      <c r="F25" s="504"/>
      <c r="G25" s="504"/>
      <c r="H25" s="504"/>
      <c r="I25" s="2"/>
      <c r="J25" s="461">
        <f>IF(J12="",0,(J20+J21-J22+J23)+(J15+J16+J17))</f>
        <v>0</v>
      </c>
      <c r="K25" s="461"/>
      <c r="L25" s="461">
        <f>IF(L12="",0,(L20+L21-L22+L23)+(L15+L16+L17))</f>
        <v>0</v>
      </c>
      <c r="M25" s="461"/>
      <c r="N25" s="461">
        <f>IF(N12="",0,(N20+N21-N22+N23)+(N15+N16+N17))</f>
        <v>0</v>
      </c>
      <c r="O25" s="461"/>
      <c r="P25" s="461">
        <f>IF(P12="",0,(P20+P21-P22+P23)+(P15+P16+P17))</f>
        <v>0</v>
      </c>
      <c r="Q25" s="461"/>
      <c r="R25" s="472">
        <f>IF(R12="",0,(R20+R21-R22+R23)+(R15+R16+R17))</f>
        <v>0</v>
      </c>
    </row>
    <row r="26" spans="1:18" ht="15" hidden="1" customHeight="1" thickBot="1">
      <c r="A26" s="469"/>
      <c r="B26" s="503" t="s">
        <v>254</v>
      </c>
      <c r="C26" s="503"/>
      <c r="D26" s="503"/>
      <c r="E26" s="320"/>
      <c r="F26" s="320"/>
      <c r="G26" s="2"/>
      <c r="H26" s="2"/>
      <c r="I26" s="2"/>
      <c r="J26" s="462">
        <f>IF(J12="",0,IF(J12="Company",(J15+J16+J17)+(J20+J21-J22+J23)*(1-Console!$AJ$3),J25))</f>
        <v>0</v>
      </c>
      <c r="K26" s="462"/>
      <c r="L26" s="462">
        <f>IF(L12="",0,IF(L12="Company",(L15+L16+L17)+(L20+L21-L22+L23)*(1-Console!$AJ$3),L25))</f>
        <v>0</v>
      </c>
      <c r="M26" s="462"/>
      <c r="N26" s="462">
        <f>IF(N12="",0,IF(N12="Company",(N15+N16+N17)+(N20+N21-N22+N23)*(1-Console!$AJ$3),N25))</f>
        <v>0</v>
      </c>
      <c r="O26" s="462"/>
      <c r="P26" s="462">
        <f>IF(P12="",0,IF(P12="Company",(P15+P16+P17)+(P20+P21-P22+P23)*(1-Console!$AJ$3),P25))</f>
        <v>0</v>
      </c>
      <c r="Q26" s="462"/>
      <c r="R26" s="473">
        <f>IF(R12="",0,IF(R12="Company",(R15+R16+R17)+(R20+R21-R22+R23)*(1-Console!$AJ$3),R25))</f>
        <v>0</v>
      </c>
    </row>
    <row r="27" spans="1:18" hidden="1">
      <c r="A27" s="469"/>
      <c r="B27" s="2"/>
      <c r="C27" s="2"/>
      <c r="D27" s="2"/>
      <c r="E27" s="2"/>
      <c r="F27" s="2"/>
      <c r="G27" s="2"/>
      <c r="H27" s="2"/>
      <c r="I27" s="2"/>
      <c r="J27" s="2"/>
      <c r="K27" s="2"/>
      <c r="L27" s="2"/>
      <c r="M27" s="2"/>
      <c r="N27" s="2"/>
      <c r="O27" s="2"/>
      <c r="P27" s="2"/>
      <c r="Q27" s="2"/>
      <c r="R27" s="469"/>
    </row>
    <row r="28" spans="1:18" hidden="1">
      <c r="A28" s="469"/>
      <c r="B28" s="479" t="s">
        <v>230</v>
      </c>
      <c r="C28" s="2"/>
      <c r="D28" s="2"/>
      <c r="E28" s="2"/>
      <c r="F28" s="2"/>
      <c r="G28" s="2"/>
      <c r="H28" s="2"/>
      <c r="I28" s="2"/>
      <c r="J28" s="31"/>
      <c r="K28" s="31"/>
      <c r="L28" s="31"/>
      <c r="M28" s="31"/>
      <c r="N28" s="31"/>
      <c r="O28" s="31"/>
      <c r="P28" s="31"/>
      <c r="Q28" s="31"/>
      <c r="R28" s="470"/>
    </row>
    <row r="29" spans="1:18" hidden="1">
      <c r="A29" s="469"/>
      <c r="B29" s="480" t="s">
        <v>231</v>
      </c>
      <c r="C29" s="2"/>
      <c r="D29" s="2"/>
      <c r="E29" s="2"/>
      <c r="F29" s="2"/>
      <c r="G29" s="2"/>
      <c r="H29" s="2"/>
      <c r="I29" s="2"/>
      <c r="J29" s="459"/>
      <c r="K29" s="377"/>
      <c r="L29" s="459"/>
      <c r="M29" s="377"/>
      <c r="N29" s="459"/>
      <c r="O29" s="377"/>
      <c r="P29" s="459"/>
      <c r="Q29" s="377"/>
      <c r="R29" s="468"/>
    </row>
    <row r="30" spans="1:18" hidden="1">
      <c r="A30" s="469"/>
      <c r="B30" s="480" t="s">
        <v>232</v>
      </c>
      <c r="C30" s="2"/>
      <c r="D30" s="2"/>
      <c r="E30" s="2"/>
      <c r="F30" s="2"/>
      <c r="G30" s="2"/>
      <c r="H30" s="2"/>
      <c r="I30" s="2"/>
      <c r="J30" s="459"/>
      <c r="K30" s="377"/>
      <c r="L30" s="459"/>
      <c r="M30" s="377"/>
      <c r="N30" s="459"/>
      <c r="O30" s="377"/>
      <c r="P30" s="459"/>
      <c r="Q30" s="377"/>
      <c r="R30" s="468"/>
    </row>
    <row r="31" spans="1:18" hidden="1">
      <c r="A31" s="469"/>
      <c r="B31" s="480" t="s">
        <v>233</v>
      </c>
      <c r="C31" s="2"/>
      <c r="D31" s="2"/>
      <c r="E31" s="2"/>
      <c r="F31" s="2"/>
      <c r="G31" s="2"/>
      <c r="H31" s="2"/>
      <c r="I31" s="2"/>
      <c r="J31" s="459"/>
      <c r="K31" s="377"/>
      <c r="L31" s="459"/>
      <c r="M31" s="377"/>
      <c r="N31" s="459"/>
      <c r="O31" s="377"/>
      <c r="P31" s="459"/>
      <c r="Q31" s="377"/>
      <c r="R31" s="468"/>
    </row>
    <row r="32" spans="1:18" ht="16" hidden="1" thickBot="1">
      <c r="A32" s="469"/>
      <c r="B32" s="2"/>
      <c r="C32" s="2"/>
      <c r="D32" s="2"/>
      <c r="E32" s="2"/>
      <c r="F32" s="2"/>
      <c r="G32" s="2"/>
      <c r="H32" s="2"/>
      <c r="I32" s="2"/>
      <c r="J32" s="463"/>
      <c r="K32" s="463"/>
      <c r="L32" s="463"/>
      <c r="M32" s="463"/>
      <c r="N32" s="463"/>
      <c r="O32" s="463"/>
      <c r="P32" s="463"/>
      <c r="Q32" s="463"/>
      <c r="R32" s="474"/>
    </row>
    <row r="33" spans="1:18" ht="30.75" hidden="1" customHeight="1" thickBot="1">
      <c r="A33" s="469"/>
      <c r="B33" s="502" t="s">
        <v>280</v>
      </c>
      <c r="C33" s="502"/>
      <c r="D33" s="502"/>
      <c r="E33" s="502"/>
      <c r="F33" s="502"/>
      <c r="G33" s="502"/>
      <c r="H33" s="502"/>
      <c r="I33" s="2"/>
      <c r="J33" s="462">
        <f>IF(J12="",0,SUM(J29:J31))</f>
        <v>0</v>
      </c>
      <c r="K33" s="462"/>
      <c r="L33" s="462">
        <f>IF(L12="",0,SUM(L29:L31))</f>
        <v>0</v>
      </c>
      <c r="M33" s="462"/>
      <c r="N33" s="462">
        <f>IF(N12="",0,SUM(N29:N31))</f>
        <v>0</v>
      </c>
      <c r="O33" s="462"/>
      <c r="P33" s="462">
        <f>IF(P12="",0,SUM(P29:P31))</f>
        <v>0</v>
      </c>
      <c r="Q33" s="462"/>
      <c r="R33" s="473">
        <f>IF(R12="",0,SUM(R29:R31))</f>
        <v>0</v>
      </c>
    </row>
    <row r="34" spans="1:18" ht="16" thickBot="1">
      <c r="A34" s="469"/>
      <c r="B34" s="482"/>
      <c r="C34" s="483"/>
      <c r="D34" s="483"/>
      <c r="E34" s="483"/>
      <c r="F34" s="483"/>
      <c r="G34" s="483"/>
      <c r="H34" s="483"/>
      <c r="I34" s="483"/>
      <c r="J34" s="483"/>
      <c r="K34" s="483"/>
      <c r="L34" s="483"/>
      <c r="M34" s="483"/>
      <c r="N34" s="483"/>
      <c r="O34" s="483"/>
      <c r="P34" s="483"/>
      <c r="Q34" s="483"/>
      <c r="R34" s="484"/>
    </row>
  </sheetData>
  <sheetProtection selectLockedCells="1"/>
  <mergeCells count="3">
    <mergeCell ref="B33:H33"/>
    <mergeCell ref="B26:D26"/>
    <mergeCell ref="B25:H25"/>
  </mergeCells>
  <conditionalFormatting sqref="D6">
    <cfRule type="expression" dxfId="7" priority="1">
      <formula>$F$19="Yes"</formula>
    </cfRule>
  </conditionalFormatting>
  <dataValidations count="6">
    <dataValidation type="list" allowBlank="1" showInputMessage="1" showErrorMessage="1" sqref="J5" xr:uid="{00000000-0002-0000-0100-000000000000}">
      <formula1>$S$3:$S$16</formula1>
    </dataValidation>
    <dataValidation type="list" allowBlank="1" showInputMessage="1" showErrorMessage="1" sqref="F2" xr:uid="{00000000-0002-0000-0100-000001000000}">
      <formula1>$Q$3:$Q$7</formula1>
    </dataValidation>
    <dataValidation type="date" allowBlank="1" showInputMessage="1" showErrorMessage="1" sqref="P4" xr:uid="{00000000-0002-0000-0100-000002000000}">
      <formula1>43647</formula1>
      <formula2>45839</formula2>
    </dataValidation>
    <dataValidation type="decimal" allowBlank="1" showInputMessage="1" showErrorMessage="1" sqref="F4" xr:uid="{00000000-0002-0000-0100-000003000000}">
      <formula1>0</formula1>
      <formula2>9999999</formula2>
    </dataValidation>
    <dataValidation type="decimal" allowBlank="1" showInputMessage="1" showErrorMessage="1" sqref="H2 H5" xr:uid="{00000000-0002-0000-0100-000004000000}">
      <formula1>0</formula1>
      <formula2>10000000</formula2>
    </dataValidation>
    <dataValidation type="textLength" allowBlank="1" showInputMessage="1" showErrorMessage="1" sqref="D4" xr:uid="{00000000-0002-0000-0100-000005000000}">
      <formula1>1</formula1>
      <formula2>50</formula2>
    </dataValidation>
  </dataValidations>
  <pageMargins left="0.7" right="0.7" top="0.75" bottom="0.75" header="0.3" footer="0.3"/>
  <pageSetup paperSize="9" orientation="portrait" verticalDpi="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Console!$BM$3:$BM$5</xm:f>
          </x14:formula1>
          <xm:sqref>J4</xm:sqref>
        </x14:dataValidation>
        <x14:dataValidation type="list" allowBlank="1" showInputMessage="1" showErrorMessage="1" xr:uid="{00000000-0002-0000-0100-000007000000}">
          <x14:formula1>
            <xm:f>'/Users/chris/OneDrive - Ready Set Group/@WORK/@READY SET GROUP PTY LTD/INCOME/@INVOICES/\\fsv1-tvo-vmp.tvo.prd\bmy$\Citrix_Home_Drives\bmymillerj\Documents\[BNK Servicing Calc plus feedback.xlsx]Console'!#REF!</xm:f>
          </x14:formula1>
          <xm:sqref>N5 P5 N2 P2</xm:sqref>
        </x14:dataValidation>
        <x14:dataValidation type="list" allowBlank="1" showInputMessage="1" showErrorMessage="1" xr:uid="{00000000-0002-0000-0100-000008000000}">
          <x14:formula1>
            <xm:f>Console!$X$3:$X$9</xm:f>
          </x14:formula1>
          <xm:sqref>L2 L4:L5</xm:sqref>
        </x14:dataValidation>
        <x14:dataValidation type="list" allowBlank="1" showInputMessage="1" showErrorMessage="1" xr:uid="{00000000-0002-0000-0100-000009000000}">
          <x14:formula1>
            <xm:f>Console!$T$3:$T$14</xm:f>
          </x14:formula1>
          <xm:sqref>J2</xm:sqref>
        </x14:dataValidation>
        <x14:dataValidation type="list" allowBlank="1" showInputMessage="1" showErrorMessage="1" xr:uid="{00000000-0002-0000-0100-00000A000000}">
          <x14:formula1>
            <xm:f>Console!$AJ$6:$AJ$8</xm:f>
          </x14:formula1>
          <xm:sqref>J12 L12 N12 P12 R12</xm:sqref>
        </x14:dataValidation>
        <x14:dataValidation type="list" allowBlank="1" showInputMessage="1" showErrorMessage="1" xr:uid="{00000000-0002-0000-0100-00000B000000}">
          <x14:formula1>
            <xm:f>Input!#REF!</xm:f>
          </x14:formula1>
          <xm:sqref>L11 J11 R11 P11 N11</xm:sqref>
        </x14:dataValidation>
        <x14:dataValidation type="list" allowBlank="1" showInputMessage="1" showErrorMessage="1" xr:uid="{00000000-0002-0000-0100-00000C000000}">
          <x14:formula1>
            <xm:f>Formulas!$E$48:$I$48</xm:f>
          </x14:formula1>
          <xm:sqref>J10 L10 N10 P10 R10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0000"/>
  </sheetPr>
  <dimension ref="A1:E7"/>
  <sheetViews>
    <sheetView topLeftCell="A4" workbookViewId="0">
      <selection activeCell="A8" sqref="A8"/>
    </sheetView>
  </sheetViews>
  <sheetFormatPr baseColWidth="10" defaultColWidth="8.83203125" defaultRowHeight="15"/>
  <cols>
    <col min="2" max="3" width="12.5" customWidth="1"/>
    <col min="4" max="4" width="69.33203125" customWidth="1"/>
    <col min="5" max="5" width="135.83203125" customWidth="1"/>
  </cols>
  <sheetData>
    <row r="1" spans="1:5">
      <c r="A1" t="s">
        <v>767</v>
      </c>
      <c r="B1" t="s">
        <v>768</v>
      </c>
      <c r="C1" t="s">
        <v>769</v>
      </c>
      <c r="D1" t="s">
        <v>770</v>
      </c>
      <c r="E1" t="s">
        <v>771</v>
      </c>
    </row>
    <row r="2" spans="1:5" ht="409.6">
      <c r="A2" s="486">
        <v>2.4</v>
      </c>
      <c r="B2" s="487">
        <v>44118</v>
      </c>
      <c r="C2" s="486" t="s">
        <v>772</v>
      </c>
      <c r="D2" s="488" t="s">
        <v>773</v>
      </c>
      <c r="E2" s="489" t="s">
        <v>774</v>
      </c>
    </row>
    <row r="3" spans="1:5" ht="112">
      <c r="A3">
        <v>2.5</v>
      </c>
      <c r="B3" s="26">
        <v>44127</v>
      </c>
      <c r="C3" t="s">
        <v>772</v>
      </c>
      <c r="D3" s="16" t="s">
        <v>780</v>
      </c>
      <c r="E3" s="16" t="s">
        <v>781</v>
      </c>
    </row>
    <row r="4" spans="1:5" ht="128">
      <c r="A4">
        <v>2.6</v>
      </c>
      <c r="B4" s="26">
        <v>44152</v>
      </c>
      <c r="C4" t="s">
        <v>772</v>
      </c>
      <c r="D4" s="16" t="s">
        <v>785</v>
      </c>
      <c r="E4" s="16" t="s">
        <v>786</v>
      </c>
    </row>
    <row r="5" spans="1:5" ht="128">
      <c r="A5">
        <v>2.7</v>
      </c>
      <c r="B5" s="26">
        <v>44158</v>
      </c>
      <c r="C5" t="s">
        <v>772</v>
      </c>
      <c r="D5" s="16" t="s">
        <v>787</v>
      </c>
      <c r="E5" s="16" t="s">
        <v>788</v>
      </c>
    </row>
    <row r="6" spans="1:5" ht="48">
      <c r="A6">
        <v>2.8</v>
      </c>
      <c r="B6" s="26">
        <v>44174</v>
      </c>
      <c r="C6" t="s">
        <v>772</v>
      </c>
      <c r="D6" s="16" t="s">
        <v>789</v>
      </c>
      <c r="E6" s="16" t="s">
        <v>790</v>
      </c>
    </row>
    <row r="7" spans="1:5" ht="64">
      <c r="A7">
        <v>2.9</v>
      </c>
      <c r="B7" s="26">
        <v>44223</v>
      </c>
      <c r="C7" t="s">
        <v>772</v>
      </c>
      <c r="D7" s="16" t="s">
        <v>791</v>
      </c>
      <c r="E7" s="16" t="s">
        <v>792</v>
      </c>
    </row>
  </sheetData>
  <hyperlinks>
    <hyperlink ref="E2" display="https://www.ato.gov.au/General/New-legislation/In-detail/Direct-taxes/Income-tax-for-individuals/JobMaker-Plan---bringing-forward-the-Personal-Income-Tax-Plan/_x000a__x000a_Edit made from above table, in console increasing the tax rates:_x000a_increase the low income tax o" xr:uid="{00000000-0004-0000-0200-000000000000}"/>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7"/>
  </sheetPr>
  <dimension ref="B3:F53"/>
  <sheetViews>
    <sheetView zoomScale="140" zoomScaleNormal="140" workbookViewId="0">
      <selection activeCell="E4" sqref="E4"/>
    </sheetView>
  </sheetViews>
  <sheetFormatPr baseColWidth="10" defaultColWidth="9.1640625" defaultRowHeight="15"/>
  <cols>
    <col min="1" max="1" width="9.1640625" style="1"/>
    <col min="2" max="2" width="6.1640625" style="1" customWidth="1"/>
    <col min="3" max="3" width="35.5" style="1" bestFit="1" customWidth="1"/>
    <col min="4" max="4" width="0.33203125" style="1" customWidth="1"/>
    <col min="5" max="5" width="24.83203125" style="1" customWidth="1"/>
    <col min="6" max="16384" width="9.1640625" style="1"/>
  </cols>
  <sheetData>
    <row r="3" spans="2:6" ht="17">
      <c r="B3" s="247" t="s">
        <v>347</v>
      </c>
      <c r="C3" s="248" t="s">
        <v>348</v>
      </c>
      <c r="D3" s="248"/>
      <c r="E3" s="249" t="s">
        <v>588</v>
      </c>
    </row>
    <row r="4" spans="2:6" ht="16">
      <c r="B4" s="250">
        <v>1</v>
      </c>
      <c r="C4" s="251" t="s">
        <v>355</v>
      </c>
      <c r="D4" s="251" t="s">
        <v>593</v>
      </c>
      <c r="E4" s="268">
        <v>1</v>
      </c>
      <c r="F4" s="138" t="s">
        <v>587</v>
      </c>
    </row>
    <row r="5" spans="2:6" ht="16">
      <c r="B5" s="250">
        <f t="shared" ref="B5:B53" ca="1" si="0">OFFSET(B5,-1,)+1</f>
        <v>2</v>
      </c>
      <c r="C5" s="251" t="s">
        <v>359</v>
      </c>
      <c r="D5" s="251" t="s">
        <v>594</v>
      </c>
      <c r="E5" s="268" t="s">
        <v>360</v>
      </c>
      <c r="F5" s="138" t="s">
        <v>587</v>
      </c>
    </row>
    <row r="6" spans="2:6" ht="16">
      <c r="B6" s="250">
        <f t="shared" ca="1" si="0"/>
        <v>3</v>
      </c>
      <c r="C6" s="251" t="s">
        <v>364</v>
      </c>
      <c r="D6" s="251" t="s">
        <v>595</v>
      </c>
      <c r="E6" s="268" t="s">
        <v>365</v>
      </c>
      <c r="F6" s="138"/>
    </row>
    <row r="7" spans="2:6" ht="16">
      <c r="B7" s="250">
        <f t="shared" ca="1" si="0"/>
        <v>4</v>
      </c>
      <c r="C7" s="251" t="s">
        <v>368</v>
      </c>
      <c r="D7" s="251" t="s">
        <v>593</v>
      </c>
      <c r="E7" s="268">
        <v>1</v>
      </c>
      <c r="F7" s="138" t="s">
        <v>587</v>
      </c>
    </row>
    <row r="8" spans="2:6" ht="16">
      <c r="B8" s="250">
        <f t="shared" ca="1" si="0"/>
        <v>5</v>
      </c>
      <c r="C8" s="251" t="s">
        <v>377</v>
      </c>
      <c r="D8" s="251" t="s">
        <v>596</v>
      </c>
      <c r="E8" s="268" t="s">
        <v>378</v>
      </c>
      <c r="F8" s="138"/>
    </row>
    <row r="9" spans="2:6" ht="16">
      <c r="B9" s="250">
        <f t="shared" ca="1" si="0"/>
        <v>6</v>
      </c>
      <c r="C9" s="251" t="s">
        <v>383</v>
      </c>
      <c r="D9" s="251" t="s">
        <v>597</v>
      </c>
      <c r="E9" s="268">
        <v>1000000</v>
      </c>
      <c r="F9" s="138"/>
    </row>
    <row r="10" spans="2:6" ht="16">
      <c r="B10" s="250">
        <f t="shared" ca="1" si="0"/>
        <v>7</v>
      </c>
      <c r="C10" s="251" t="s">
        <v>386</v>
      </c>
      <c r="D10" s="251" t="s">
        <v>598</v>
      </c>
      <c r="E10" s="269">
        <v>0.7</v>
      </c>
      <c r="F10" s="138" t="s">
        <v>587</v>
      </c>
    </row>
    <row r="11" spans="2:6" ht="16">
      <c r="B11" s="250">
        <f t="shared" ca="1" si="0"/>
        <v>8</v>
      </c>
      <c r="C11" s="251" t="s">
        <v>389</v>
      </c>
      <c r="D11" s="251" t="s">
        <v>599</v>
      </c>
      <c r="E11" s="268" t="s">
        <v>390</v>
      </c>
      <c r="F11" s="138"/>
    </row>
    <row r="12" spans="2:6" ht="16">
      <c r="B12" s="250">
        <f t="shared" ca="1" si="0"/>
        <v>9</v>
      </c>
      <c r="C12" s="251" t="s">
        <v>393</v>
      </c>
      <c r="D12" s="251" t="s">
        <v>600</v>
      </c>
      <c r="E12" s="268" t="s">
        <v>394</v>
      </c>
      <c r="F12" s="138" t="s">
        <v>587</v>
      </c>
    </row>
    <row r="13" spans="2:6" ht="16">
      <c r="B13" s="250">
        <f t="shared" ca="1" si="0"/>
        <v>10</v>
      </c>
      <c r="C13" s="251" t="s">
        <v>397</v>
      </c>
      <c r="D13" s="251" t="s">
        <v>601</v>
      </c>
      <c r="E13" s="268" t="s">
        <v>36</v>
      </c>
      <c r="F13" s="138" t="s">
        <v>587</v>
      </c>
    </row>
    <row r="14" spans="2:6" ht="16">
      <c r="B14" s="250">
        <f t="shared" ca="1" si="0"/>
        <v>11</v>
      </c>
      <c r="C14" s="251" t="s">
        <v>400</v>
      </c>
      <c r="D14" s="251" t="s">
        <v>602</v>
      </c>
      <c r="E14" s="268" t="s">
        <v>401</v>
      </c>
      <c r="F14" s="138"/>
    </row>
    <row r="15" spans="2:6" ht="16">
      <c r="B15" s="250">
        <f t="shared" ca="1" si="0"/>
        <v>12</v>
      </c>
      <c r="C15" s="251" t="s">
        <v>404</v>
      </c>
      <c r="D15" s="251" t="s">
        <v>597</v>
      </c>
      <c r="E15" s="268">
        <v>1000000</v>
      </c>
      <c r="F15" s="138" t="s">
        <v>587</v>
      </c>
    </row>
    <row r="16" spans="2:6" ht="16">
      <c r="B16" s="250">
        <f t="shared" ca="1" si="0"/>
        <v>13</v>
      </c>
      <c r="C16" s="251" t="s">
        <v>406</v>
      </c>
      <c r="D16" s="251" t="s">
        <v>603</v>
      </c>
      <c r="E16" s="268">
        <v>-1</v>
      </c>
      <c r="F16" s="138" t="s">
        <v>587</v>
      </c>
    </row>
    <row r="17" spans="2:6" ht="16">
      <c r="B17" s="250">
        <f t="shared" ca="1" si="0"/>
        <v>14</v>
      </c>
      <c r="C17" s="251" t="s">
        <v>409</v>
      </c>
      <c r="D17" s="251" t="s">
        <v>604</v>
      </c>
      <c r="E17" s="270">
        <v>0</v>
      </c>
      <c r="F17" s="138" t="s">
        <v>587</v>
      </c>
    </row>
    <row r="18" spans="2:6" ht="16">
      <c r="B18" s="250">
        <f t="shared" ca="1" si="0"/>
        <v>15</v>
      </c>
      <c r="C18" s="251" t="s">
        <v>411</v>
      </c>
      <c r="D18" s="251" t="s">
        <v>605</v>
      </c>
      <c r="E18" s="268" t="s">
        <v>412</v>
      </c>
      <c r="F18" s="138"/>
    </row>
    <row r="19" spans="2:6" ht="16">
      <c r="B19" s="250">
        <f t="shared" ca="1" si="0"/>
        <v>16</v>
      </c>
      <c r="C19" s="251" t="s">
        <v>414</v>
      </c>
      <c r="D19" s="251" t="s">
        <v>606</v>
      </c>
      <c r="E19" s="271"/>
      <c r="F19" s="138" t="s">
        <v>587</v>
      </c>
    </row>
    <row r="20" spans="2:6" ht="16">
      <c r="B20" s="250">
        <f t="shared" ca="1" si="0"/>
        <v>17</v>
      </c>
      <c r="C20" s="251" t="s">
        <v>417</v>
      </c>
      <c r="D20" s="251" t="s">
        <v>607</v>
      </c>
      <c r="E20" s="272">
        <v>2000</v>
      </c>
      <c r="F20" s="138" t="s">
        <v>587</v>
      </c>
    </row>
    <row r="21" spans="2:6" ht="16">
      <c r="B21" s="250">
        <f t="shared" ca="1" si="0"/>
        <v>18</v>
      </c>
      <c r="C21" s="251" t="s">
        <v>420</v>
      </c>
      <c r="D21" s="251" t="s">
        <v>608</v>
      </c>
      <c r="E21" s="268" t="s">
        <v>421</v>
      </c>
      <c r="F21" s="138" t="s">
        <v>587</v>
      </c>
    </row>
    <row r="22" spans="2:6" ht="16">
      <c r="B22" s="250">
        <f t="shared" ca="1" si="0"/>
        <v>19</v>
      </c>
      <c r="C22" s="251" t="s">
        <v>424</v>
      </c>
      <c r="D22" s="251" t="s">
        <v>609</v>
      </c>
      <c r="E22" s="268">
        <v>1428571.4285714286</v>
      </c>
      <c r="F22" s="138"/>
    </row>
    <row r="23" spans="2:6" ht="16">
      <c r="B23" s="250">
        <f t="shared" ca="1" si="0"/>
        <v>20</v>
      </c>
      <c r="C23" s="251" t="s">
        <v>427</v>
      </c>
      <c r="D23" s="251" t="s">
        <v>610</v>
      </c>
      <c r="E23" s="273">
        <v>43220</v>
      </c>
      <c r="F23" s="138"/>
    </row>
    <row r="24" spans="2:6" ht="16">
      <c r="B24" s="250">
        <f t="shared" ca="1" si="0"/>
        <v>21</v>
      </c>
      <c r="C24" s="251" t="s">
        <v>430</v>
      </c>
      <c r="D24" s="251" t="s">
        <v>611</v>
      </c>
      <c r="E24" s="273">
        <v>54178</v>
      </c>
      <c r="F24" s="138"/>
    </row>
    <row r="25" spans="2:6" ht="16">
      <c r="B25" s="250">
        <f t="shared" ca="1" si="0"/>
        <v>22</v>
      </c>
      <c r="C25" s="251" t="s">
        <v>432</v>
      </c>
      <c r="D25" s="251" t="s">
        <v>603</v>
      </c>
      <c r="E25" s="268">
        <v>-1</v>
      </c>
      <c r="F25" s="138" t="s">
        <v>587</v>
      </c>
    </row>
    <row r="26" spans="2:6" ht="16">
      <c r="B26" s="250">
        <f t="shared" ca="1" si="0"/>
        <v>23</v>
      </c>
      <c r="C26" s="251" t="s">
        <v>435</v>
      </c>
      <c r="D26" s="251" t="s">
        <v>612</v>
      </c>
      <c r="E26" s="268">
        <v>3</v>
      </c>
      <c r="F26" s="138" t="s">
        <v>587</v>
      </c>
    </row>
    <row r="27" spans="2:6" ht="16">
      <c r="B27" s="250">
        <f t="shared" ca="1" si="0"/>
        <v>24</v>
      </c>
      <c r="C27" s="251" t="s">
        <v>438</v>
      </c>
      <c r="D27" s="251" t="s">
        <v>604</v>
      </c>
      <c r="E27" s="268">
        <v>0</v>
      </c>
      <c r="F27" s="138" t="s">
        <v>586</v>
      </c>
    </row>
    <row r="28" spans="2:6" ht="16">
      <c r="B28" s="250">
        <f t="shared" ca="1" si="0"/>
        <v>25</v>
      </c>
      <c r="C28" s="251" t="s">
        <v>441</v>
      </c>
      <c r="D28" s="251" t="s">
        <v>597</v>
      </c>
      <c r="E28" s="268">
        <v>1000000</v>
      </c>
      <c r="F28" s="138" t="s">
        <v>587</v>
      </c>
    </row>
    <row r="29" spans="2:6" ht="16">
      <c r="B29" s="250">
        <f t="shared" ca="1" si="0"/>
        <v>26</v>
      </c>
      <c r="C29" s="251" t="s">
        <v>444</v>
      </c>
      <c r="D29" s="251" t="s">
        <v>613</v>
      </c>
      <c r="E29" s="268" t="s">
        <v>445</v>
      </c>
      <c r="F29" s="138"/>
    </row>
    <row r="30" spans="2:6" ht="16">
      <c r="B30" s="250">
        <f t="shared" ca="1" si="0"/>
        <v>27</v>
      </c>
      <c r="C30" s="251" t="s">
        <v>449</v>
      </c>
      <c r="D30" s="251" t="s">
        <v>614</v>
      </c>
      <c r="E30" s="268" t="s">
        <v>305</v>
      </c>
      <c r="F30" s="138" t="s">
        <v>587</v>
      </c>
    </row>
    <row r="31" spans="2:6" ht="16">
      <c r="B31" s="250">
        <f t="shared" ca="1" si="0"/>
        <v>28</v>
      </c>
      <c r="C31" s="251" t="s">
        <v>402</v>
      </c>
      <c r="D31" s="251" t="s">
        <v>601</v>
      </c>
      <c r="E31" s="268" t="s">
        <v>36</v>
      </c>
      <c r="F31" s="138"/>
    </row>
    <row r="32" spans="2:6" ht="16">
      <c r="B32" s="250">
        <f t="shared" ca="1" si="0"/>
        <v>29</v>
      </c>
      <c r="C32" s="251" t="s">
        <v>454</v>
      </c>
      <c r="D32" s="251" t="s">
        <v>615</v>
      </c>
      <c r="E32" s="268" t="s">
        <v>455</v>
      </c>
      <c r="F32" s="138" t="s">
        <v>587</v>
      </c>
    </row>
    <row r="33" spans="2:6" ht="16">
      <c r="B33" s="250">
        <f t="shared" ca="1" si="0"/>
        <v>30</v>
      </c>
      <c r="C33" s="251" t="s">
        <v>433</v>
      </c>
      <c r="D33" s="251" t="s">
        <v>616</v>
      </c>
      <c r="E33" s="268" t="s">
        <v>458</v>
      </c>
      <c r="F33" s="138"/>
    </row>
    <row r="34" spans="2:6" ht="16">
      <c r="B34" s="250">
        <f t="shared" ca="1" si="0"/>
        <v>31</v>
      </c>
      <c r="C34" s="251" t="s">
        <v>460</v>
      </c>
      <c r="D34" s="251" t="s">
        <v>593</v>
      </c>
      <c r="E34" s="268">
        <v>1</v>
      </c>
      <c r="F34" s="138"/>
    </row>
    <row r="35" spans="2:6" ht="16">
      <c r="B35" s="250">
        <f t="shared" ca="1" si="0"/>
        <v>32</v>
      </c>
      <c r="C35" s="251" t="s">
        <v>462</v>
      </c>
      <c r="D35" s="251" t="s">
        <v>617</v>
      </c>
      <c r="E35" s="268" t="s">
        <v>463</v>
      </c>
      <c r="F35" s="138"/>
    </row>
    <row r="36" spans="2:6" ht="16">
      <c r="B36" s="250">
        <f t="shared" ca="1" si="0"/>
        <v>33</v>
      </c>
      <c r="C36" s="251" t="s">
        <v>466</v>
      </c>
      <c r="D36" s="251" t="s">
        <v>598</v>
      </c>
      <c r="E36" s="274">
        <v>0.7</v>
      </c>
      <c r="F36" s="138"/>
    </row>
    <row r="37" spans="2:6" ht="16">
      <c r="B37" s="250">
        <f t="shared" ca="1" si="0"/>
        <v>34</v>
      </c>
      <c r="C37" s="251" t="s">
        <v>468</v>
      </c>
      <c r="D37" s="251" t="s">
        <v>604</v>
      </c>
      <c r="E37" s="268">
        <v>0</v>
      </c>
      <c r="F37" s="138"/>
    </row>
    <row r="38" spans="2:6" ht="16">
      <c r="B38" s="250">
        <f t="shared" ca="1" si="0"/>
        <v>35</v>
      </c>
      <c r="C38" s="251" t="s">
        <v>363</v>
      </c>
      <c r="D38" s="251" t="s">
        <v>618</v>
      </c>
      <c r="E38" s="275">
        <v>25</v>
      </c>
      <c r="F38" s="138"/>
    </row>
    <row r="39" spans="2:6" ht="16">
      <c r="B39" s="250">
        <f t="shared" ca="1" si="0"/>
        <v>36</v>
      </c>
      <c r="C39" s="251" t="s">
        <v>472</v>
      </c>
      <c r="D39" s="251" t="s">
        <v>619</v>
      </c>
      <c r="E39" s="268">
        <v>27</v>
      </c>
      <c r="F39" s="138"/>
    </row>
    <row r="40" spans="2:6" ht="16">
      <c r="B40" s="250">
        <f t="shared" ca="1" si="0"/>
        <v>37</v>
      </c>
      <c r="C40" s="251" t="s">
        <v>474</v>
      </c>
      <c r="D40" s="251" t="s">
        <v>620</v>
      </c>
      <c r="E40" s="270">
        <v>9.69E-2</v>
      </c>
      <c r="F40" s="138" t="s">
        <v>587</v>
      </c>
    </row>
    <row r="41" spans="2:6" ht="16">
      <c r="B41" s="250">
        <f t="shared" ca="1" si="0"/>
        <v>38</v>
      </c>
      <c r="C41" s="251" t="s">
        <v>422</v>
      </c>
      <c r="D41" s="251" t="s">
        <v>601</v>
      </c>
      <c r="E41" s="268" t="s">
        <v>36</v>
      </c>
      <c r="F41" s="138"/>
    </row>
    <row r="42" spans="2:6" ht="16">
      <c r="B42" s="250">
        <f t="shared" ca="1" si="0"/>
        <v>39</v>
      </c>
      <c r="C42" s="251" t="s">
        <v>476</v>
      </c>
      <c r="D42" s="251" t="s">
        <v>601</v>
      </c>
      <c r="E42" s="268" t="s">
        <v>36</v>
      </c>
      <c r="F42" s="138"/>
    </row>
    <row r="43" spans="2:6" ht="16">
      <c r="B43" s="250">
        <f ca="1">OFFSET(B43,-1,)+1</f>
        <v>40</v>
      </c>
      <c r="C43" s="251" t="s">
        <v>477</v>
      </c>
      <c r="D43" s="251" t="s">
        <v>601</v>
      </c>
      <c r="E43" s="268" t="s">
        <v>36</v>
      </c>
      <c r="F43" s="138"/>
    </row>
    <row r="44" spans="2:6" ht="16">
      <c r="B44" s="250">
        <f t="shared" ca="1" si="0"/>
        <v>41</v>
      </c>
      <c r="C44" s="251" t="s">
        <v>478</v>
      </c>
      <c r="D44" s="251" t="s">
        <v>603</v>
      </c>
      <c r="E44" s="268">
        <v>-1</v>
      </c>
      <c r="F44" s="138" t="s">
        <v>587</v>
      </c>
    </row>
    <row r="45" spans="2:6" ht="16">
      <c r="B45" s="250">
        <f t="shared" ca="1" si="0"/>
        <v>42</v>
      </c>
      <c r="C45" s="251" t="s">
        <v>479</v>
      </c>
      <c r="D45" s="251" t="s">
        <v>621</v>
      </c>
      <c r="E45" s="268">
        <v>2</v>
      </c>
      <c r="F45" s="138"/>
    </row>
    <row r="46" spans="2:6" ht="16">
      <c r="B46" s="250">
        <f t="shared" ca="1" si="0"/>
        <v>43</v>
      </c>
      <c r="C46" s="251" t="s">
        <v>480</v>
      </c>
      <c r="D46" s="251" t="s">
        <v>604</v>
      </c>
      <c r="E46" s="268">
        <v>0</v>
      </c>
      <c r="F46" s="138"/>
    </row>
    <row r="47" spans="2:6" ht="16">
      <c r="B47" s="250">
        <f t="shared" ca="1" si="0"/>
        <v>44</v>
      </c>
      <c r="C47" s="251" t="s">
        <v>481</v>
      </c>
      <c r="D47" s="251" t="s">
        <v>622</v>
      </c>
      <c r="E47" s="276">
        <v>0.49863013698630138</v>
      </c>
      <c r="F47" s="138"/>
    </row>
    <row r="48" spans="2:6" ht="16">
      <c r="B48" s="250">
        <f t="shared" ca="1" si="0"/>
        <v>45</v>
      </c>
      <c r="C48" s="251" t="s">
        <v>482</v>
      </c>
      <c r="D48" s="251" t="s">
        <v>601</v>
      </c>
      <c r="E48" s="268" t="s">
        <v>36</v>
      </c>
      <c r="F48" s="138"/>
    </row>
    <row r="49" spans="2:6" ht="16">
      <c r="B49" s="250">
        <f t="shared" ca="1" si="0"/>
        <v>46</v>
      </c>
      <c r="C49" s="251" t="s">
        <v>391</v>
      </c>
      <c r="D49" s="251" t="s">
        <v>601</v>
      </c>
      <c r="E49" s="268" t="s">
        <v>36</v>
      </c>
      <c r="F49" s="138"/>
    </row>
    <row r="50" spans="2:6" ht="16">
      <c r="B50" s="250">
        <f t="shared" ca="1" si="0"/>
        <v>47</v>
      </c>
      <c r="C50" s="251" t="s">
        <v>591</v>
      </c>
      <c r="D50" s="251" t="s">
        <v>615</v>
      </c>
      <c r="E50" s="268" t="s">
        <v>455</v>
      </c>
      <c r="F50" s="138"/>
    </row>
    <row r="51" spans="2:6" ht="16">
      <c r="B51" s="250">
        <f t="shared" ca="1" si="0"/>
        <v>48</v>
      </c>
      <c r="C51" s="251" t="s">
        <v>485</v>
      </c>
      <c r="D51" s="251" t="s">
        <v>623</v>
      </c>
      <c r="E51" s="273">
        <v>43982</v>
      </c>
      <c r="F51" s="138"/>
    </row>
    <row r="52" spans="2:6" ht="16">
      <c r="B52" s="250">
        <f t="shared" ca="1" si="0"/>
        <v>49</v>
      </c>
      <c r="C52" s="251" t="s">
        <v>486</v>
      </c>
      <c r="D52" s="251" t="s">
        <v>624</v>
      </c>
      <c r="E52" s="268" t="s">
        <v>307</v>
      </c>
      <c r="F52" s="138" t="s">
        <v>587</v>
      </c>
    </row>
    <row r="53" spans="2:6" ht="16">
      <c r="B53" s="250">
        <f t="shared" ca="1" si="0"/>
        <v>50</v>
      </c>
      <c r="C53" s="251" t="s">
        <v>487</v>
      </c>
      <c r="D53" s="251" t="s">
        <v>625</v>
      </c>
      <c r="E53" s="268" t="s">
        <v>488</v>
      </c>
      <c r="F53" s="138"/>
    </row>
  </sheetData>
  <sheetProtection sheet="1" objects="1" scenarios="1" selectLockedCells="1"/>
  <conditionalFormatting sqref="E4:E51">
    <cfRule type="cellIs" dxfId="6" priority="3" operator="lessThan">
      <formula>0</formula>
    </cfRule>
  </conditionalFormatting>
  <conditionalFormatting sqref="E52">
    <cfRule type="cellIs" dxfId="5" priority="2" operator="lessThan">
      <formula>0</formula>
    </cfRule>
  </conditionalFormatting>
  <conditionalFormatting sqref="E53">
    <cfRule type="cellIs" dxfId="4" priority="1" operator="lessThan">
      <formula>0</formula>
    </cfRule>
  </conditionalFormatting>
  <dataValidations count="11">
    <dataValidation type="whole" allowBlank="1" showInputMessage="1" showErrorMessage="1" sqref="E9 E15 E22" xr:uid="{00000000-0002-0000-0300-000000000000}">
      <formula1>0</formula1>
      <formula2>99999999</formula2>
    </dataValidation>
    <dataValidation type="date" allowBlank="1" showInputMessage="1" showErrorMessage="1" sqref="E23:E24" xr:uid="{00000000-0002-0000-0300-000001000000}">
      <formula1>43831</formula1>
      <formula2>73051</formula2>
    </dataValidation>
    <dataValidation type="whole" allowBlank="1" showInputMessage="1" showErrorMessage="1" sqref="E27" xr:uid="{00000000-0002-0000-0300-000002000000}">
      <formula1>0</formula1>
      <formula2>9999</formula2>
    </dataValidation>
    <dataValidation type="decimal" allowBlank="1" showInputMessage="1" showErrorMessage="1" sqref="E36" xr:uid="{00000000-0002-0000-0300-000003000000}">
      <formula1>0</formula1>
      <formula2>2</formula2>
    </dataValidation>
    <dataValidation type="whole" allowBlank="1" showInputMessage="1" showErrorMessage="1" sqref="E37 E46" xr:uid="{00000000-0002-0000-0300-000004000000}">
      <formula1>0</formula1>
      <formula2>100</formula2>
    </dataValidation>
    <dataValidation type="whole" allowBlank="1" showInputMessage="1" showErrorMessage="1" sqref="E38:E39" xr:uid="{00000000-0002-0000-0300-000005000000}">
      <formula1>0</formula1>
      <formula2>1000</formula2>
    </dataValidation>
    <dataValidation type="decimal" allowBlank="1" showInputMessage="1" showErrorMessage="1" sqref="E47" xr:uid="{00000000-0002-0000-0300-000006000000}">
      <formula1>0</formula1>
      <formula2>999</formula2>
    </dataValidation>
    <dataValidation type="date" allowBlank="1" showInputMessage="1" showErrorMessage="1" sqref="E51" xr:uid="{00000000-0002-0000-0300-000007000000}">
      <formula1>36526</formula1>
      <formula2>73051</formula2>
    </dataValidation>
    <dataValidation type="whole" allowBlank="1" showInputMessage="1" showErrorMessage="1" sqref="E28" xr:uid="{00000000-0002-0000-0300-000008000000}">
      <formula1>0</formula1>
      <formula2>999999999</formula2>
    </dataValidation>
    <dataValidation type="decimal" allowBlank="1" showInputMessage="1" showErrorMessage="1" sqref="E25:E26" xr:uid="{00000000-0002-0000-0300-000009000000}">
      <formula1>0</formula1>
      <formula2>30</formula2>
    </dataValidation>
    <dataValidation type="whole" allowBlank="1" showInputMessage="1" showErrorMessage="1" sqref="E20" xr:uid="{00000000-0002-0000-0300-00000A000000}">
      <formula1>0</formula1>
      <formula2>10000</formula2>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B000000}">
          <x14:formula1>
            <xm:f>'Subordinate Calculator'!$AB$274:$AB$275</xm:f>
          </x14:formula1>
          <xm:sqref>E6</xm:sqref>
        </x14:dataValidation>
        <x14:dataValidation type="list" allowBlank="1" showInputMessage="1" showErrorMessage="1" xr:uid="{00000000-0002-0000-0300-00000C000000}">
          <x14:formula1>
            <xm:f>'Subordinate Calculator'!$AA$178:$AA$179</xm:f>
          </x14:formula1>
          <xm:sqref>E8</xm:sqref>
        </x14:dataValidation>
        <x14:dataValidation type="list" allowBlank="1" showInputMessage="1" showErrorMessage="1" xr:uid="{00000000-0002-0000-0300-00000D000000}">
          <x14:formula1>
            <xm:f>'Subordinate Calculator'!$AK$10:$AK$11</xm:f>
          </x14:formula1>
          <xm:sqref>E11</xm:sqref>
        </x14:dataValidation>
        <x14:dataValidation type="list" allowBlank="1" showInputMessage="1" showErrorMessage="1" xr:uid="{00000000-0002-0000-0300-00000E000000}">
          <x14:formula1>
            <xm:f>'Subordinate Calculator'!$AA$105:$AA$106</xm:f>
          </x14:formula1>
          <xm:sqref>E14</xm:sqref>
        </x14:dataValidation>
        <x14:dataValidation type="list" allowBlank="1" showInputMessage="1" showErrorMessage="1" xr:uid="{00000000-0002-0000-0300-00000F000000}">
          <x14:formula1>
            <xm:f>'Subordinate Calculator'!$AL$10:$AL$11</xm:f>
          </x14:formula1>
          <xm:sqref>E18</xm:sqref>
        </x14:dataValidation>
        <x14:dataValidation type="list" allowBlank="1" showInputMessage="1" showErrorMessage="1" xr:uid="{00000000-0002-0000-0300-000010000000}">
          <x14:formula1>
            <xm:f>'Subordinate Calculator'!$AM$10:$AM$11</xm:f>
          </x14:formula1>
          <xm:sqref>E29</xm:sqref>
        </x14:dataValidation>
        <x14:dataValidation type="list" allowBlank="1" showInputMessage="1" showErrorMessage="1" xr:uid="{00000000-0002-0000-0300-000011000000}">
          <x14:formula1>
            <xm:f>'Subordinate Calculator'!$AA$83:$AA$85</xm:f>
          </x14:formula1>
          <xm:sqref>E31</xm:sqref>
        </x14:dataValidation>
        <x14:dataValidation type="list" allowBlank="1" showInputMessage="1" showErrorMessage="1" xr:uid="{00000000-0002-0000-0300-000012000000}">
          <x14:formula1>
            <xm:f>'Subordinate Calculator'!$AA$265:$AA$274</xm:f>
          </x14:formula1>
          <xm:sqref>E33</xm:sqref>
        </x14:dataValidation>
        <x14:dataValidation type="list" allowBlank="1" showInputMessage="1" showErrorMessage="1" xr:uid="{00000000-0002-0000-0300-000013000000}">
          <x14:formula1>
            <xm:f>'Subordinate Calculator'!$AN$10:$AN$11</xm:f>
          </x14:formula1>
          <xm:sqref>E41:E43 E48:E49 E32 E13</xm:sqref>
        </x14:dataValidation>
        <x14:dataValidation type="list" allowBlank="1" showInputMessage="1" showErrorMessage="1" xr:uid="{00000000-0002-0000-0300-000014000000}">
          <x14:formula1>
            <xm:f>'Subordinate Calculator'!$AA$57:$AA$61</xm:f>
          </x14:formula1>
          <xm:sqref>E45</xm:sqref>
        </x14:dataValidation>
        <x14:dataValidation type="list" allowBlank="1" showInputMessage="1" showErrorMessage="1" xr:uid="{00000000-0002-0000-0300-000015000000}">
          <x14:formula1>
            <xm:f>'Subordinate Calculator'!$AA$96:$AA$98</xm:f>
          </x14:formula1>
          <xm:sqref>E50</xm:sqref>
        </x14:dataValidation>
        <x14:dataValidation type="list" allowBlank="1" showInputMessage="1" showErrorMessage="1" xr:uid="{00000000-0002-0000-0300-000016000000}">
          <x14:formula1>
            <xm:f>'Subordinate Calculator'!$AB$103:$AB$105</xm:f>
          </x14:formula1>
          <xm:sqref>E53</xm:sqref>
        </x14:dataValidation>
        <x14:dataValidation type="list" allowBlank="1" showInputMessage="1" showErrorMessage="1" xr:uid="{00000000-0002-0000-0300-000017000000}">
          <x14:formula1>
            <xm:f>'Subordinate Calculator'!$AO$10:$AO$18</xm:f>
          </x14:formula1>
          <xm:sqref>E52</xm:sqref>
        </x14:dataValidation>
        <x14:dataValidation type="list" allowBlank="1" showInputMessage="1" showErrorMessage="1" xr:uid="{00000000-0002-0000-0300-000018000000}">
          <x14:formula1>
            <xm:f>'Subordinate Calculator'!$AP$10:$AP$70</xm:f>
          </x14:formula1>
          <xm:sqref>E21</xm:sqref>
        </x14:dataValidation>
        <x14:dataValidation type="list" allowBlank="1" showInputMessage="1" showErrorMessage="1" xr:uid="{00000000-0002-0000-0300-000019000000}">
          <x14:formula1>
            <xm:f>'Subordinate Calculator'!$AQ$10:$AQ$11</xm:f>
          </x14:formula1>
          <xm:sqref>E12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7"/>
  </sheetPr>
  <dimension ref="A1:G135"/>
  <sheetViews>
    <sheetView topLeftCell="A16" zoomScale="160" zoomScaleNormal="160" workbookViewId="0">
      <selection activeCell="E4" sqref="E4"/>
    </sheetView>
  </sheetViews>
  <sheetFormatPr baseColWidth="10" defaultColWidth="9.1640625" defaultRowHeight="15"/>
  <cols>
    <col min="1" max="1" width="2.83203125" style="1" customWidth="1"/>
    <col min="2" max="2" width="24.33203125" style="1" customWidth="1"/>
    <col min="3" max="3" width="14.33203125" style="1" customWidth="1"/>
    <col min="4" max="4" width="5.33203125" style="1" customWidth="1"/>
    <col min="5" max="5" width="24.33203125" style="1" customWidth="1"/>
    <col min="6" max="6" width="14.33203125" style="1" customWidth="1"/>
    <col min="7" max="7" width="2.83203125" style="1" customWidth="1"/>
    <col min="8" max="16384" width="9.1640625" style="1"/>
  </cols>
  <sheetData>
    <row r="1" spans="1:7">
      <c r="A1" s="304"/>
      <c r="B1" s="305"/>
      <c r="C1" s="305"/>
      <c r="D1" s="305"/>
      <c r="E1" s="305"/>
      <c r="F1" s="305"/>
      <c r="G1" s="306"/>
    </row>
    <row r="2" spans="1:7" ht="27" thickBot="1">
      <c r="A2" s="307"/>
      <c r="B2" s="278" t="s">
        <v>636</v>
      </c>
      <c r="C2" s="277"/>
      <c r="D2" s="277"/>
      <c r="E2" s="279">
        <f ca="1">NOW()</f>
        <v>44439.408470138886</v>
      </c>
      <c r="F2" s="277"/>
      <c r="G2" s="308"/>
    </row>
    <row r="3" spans="1:7" ht="16" thickTop="1">
      <c r="A3" s="309"/>
      <c r="B3" s="280"/>
      <c r="C3" s="310"/>
      <c r="D3" s="2"/>
      <c r="E3" s="2"/>
      <c r="F3" s="2"/>
      <c r="G3" s="311"/>
    </row>
    <row r="4" spans="1:7" ht="21">
      <c r="A4" s="309"/>
      <c r="B4" s="312" t="s">
        <v>626</v>
      </c>
      <c r="C4" s="310"/>
      <c r="D4" s="2"/>
      <c r="E4" s="2"/>
      <c r="F4" s="2"/>
      <c r="G4" s="311"/>
    </row>
    <row r="5" spans="1:7">
      <c r="A5" s="309"/>
      <c r="B5" s="2"/>
      <c r="C5" s="2"/>
      <c r="D5" s="2"/>
      <c r="E5" s="2"/>
      <c r="F5" s="2"/>
      <c r="G5" s="311"/>
    </row>
    <row r="6" spans="1:7">
      <c r="A6" s="309"/>
      <c r="B6" s="281" t="s">
        <v>629</v>
      </c>
      <c r="C6" s="282">
        <f>'Loan Feature Input'!E4</f>
        <v>1</v>
      </c>
      <c r="D6" s="2"/>
      <c r="E6" s="281" t="s">
        <v>627</v>
      </c>
      <c r="F6" s="283" t="str">
        <f>Input!R7</f>
        <v>Assessor Name:</v>
      </c>
      <c r="G6" s="311"/>
    </row>
    <row r="7" spans="1:7">
      <c r="A7" s="309"/>
      <c r="B7" s="281" t="s">
        <v>268</v>
      </c>
      <c r="C7" s="283">
        <f>Input!F7</f>
        <v>0</v>
      </c>
      <c r="D7" s="2"/>
      <c r="E7" s="281" t="s">
        <v>628</v>
      </c>
      <c r="F7" s="283">
        <f>Input!L7</f>
        <v>0</v>
      </c>
      <c r="G7" s="311"/>
    </row>
    <row r="8" spans="1:7">
      <c r="A8" s="309"/>
      <c r="B8" s="2"/>
      <c r="C8" s="313"/>
      <c r="D8" s="2"/>
      <c r="E8" s="2"/>
      <c r="F8" s="313"/>
      <c r="G8" s="311"/>
    </row>
    <row r="9" spans="1:7">
      <c r="A9" s="309"/>
      <c r="B9" s="281" t="s">
        <v>630</v>
      </c>
      <c r="C9" s="282" t="str">
        <f>'Loan Feature Input'!E6</f>
        <v>Sub-prime</v>
      </c>
      <c r="D9" s="2"/>
      <c r="E9" s="2"/>
      <c r="F9" s="313"/>
      <c r="G9" s="311"/>
    </row>
    <row r="10" spans="1:7">
      <c r="A10" s="309"/>
      <c r="B10" s="281" t="s">
        <v>631</v>
      </c>
      <c r="C10" s="284">
        <f ca="1">'Subordinate Calculator'!P46</f>
        <v>0.23085071502024071</v>
      </c>
      <c r="D10" s="2"/>
      <c r="E10" s="2"/>
      <c r="F10" s="313"/>
      <c r="G10" s="311"/>
    </row>
    <row r="11" spans="1:7">
      <c r="A11" s="309"/>
      <c r="B11" s="2"/>
      <c r="C11" s="313"/>
      <c r="D11" s="2"/>
      <c r="E11" s="2"/>
      <c r="F11" s="313"/>
      <c r="G11" s="311"/>
    </row>
    <row r="12" spans="1:7">
      <c r="A12" s="309"/>
      <c r="B12" s="280" t="s">
        <v>634</v>
      </c>
      <c r="C12" s="313"/>
      <c r="D12" s="2"/>
      <c r="E12" s="280" t="s">
        <v>635</v>
      </c>
      <c r="F12" s="313"/>
      <c r="G12" s="311"/>
    </row>
    <row r="13" spans="1:7">
      <c r="A13" s="309"/>
      <c r="B13" s="281" t="s">
        <v>632</v>
      </c>
      <c r="C13" s="285">
        <f>Input!P20</f>
        <v>0</v>
      </c>
      <c r="D13" s="2"/>
      <c r="E13" s="281" t="s">
        <v>632</v>
      </c>
      <c r="F13" s="285">
        <f>Input!R20</f>
        <v>0</v>
      </c>
      <c r="G13" s="311"/>
    </row>
    <row r="14" spans="1:7">
      <c r="A14" s="309"/>
      <c r="B14" s="281" t="s">
        <v>633</v>
      </c>
      <c r="C14" s="286">
        <f>Input!P141</f>
        <v>0</v>
      </c>
      <c r="D14" s="2"/>
      <c r="E14" s="281" t="s">
        <v>633</v>
      </c>
      <c r="F14" s="286">
        <f>Input!P140</f>
        <v>0</v>
      </c>
      <c r="G14" s="311"/>
    </row>
    <row r="15" spans="1:7" ht="16" thickBot="1">
      <c r="A15" s="307"/>
      <c r="B15" s="277"/>
      <c r="C15" s="277"/>
      <c r="D15" s="277"/>
      <c r="E15" s="277"/>
      <c r="F15" s="277"/>
      <c r="G15" s="308"/>
    </row>
    <row r="16" spans="1:7" ht="16" thickTop="1">
      <c r="A16" s="309"/>
      <c r="B16" s="2"/>
      <c r="C16" s="2"/>
      <c r="D16" s="2"/>
      <c r="E16" s="2"/>
      <c r="F16" s="2"/>
      <c r="G16" s="311"/>
    </row>
    <row r="17" spans="1:7" ht="21">
      <c r="A17" s="309"/>
      <c r="B17" s="312" t="s">
        <v>637</v>
      </c>
      <c r="C17" s="2"/>
      <c r="D17" s="2"/>
      <c r="E17" s="2"/>
      <c r="F17" s="2"/>
      <c r="G17" s="311"/>
    </row>
    <row r="18" spans="1:7">
      <c r="A18" s="309"/>
      <c r="B18" s="2"/>
      <c r="C18" s="2"/>
      <c r="D18" s="2"/>
      <c r="E18" s="2"/>
      <c r="F18" s="2"/>
      <c r="G18" s="311"/>
    </row>
    <row r="19" spans="1:7">
      <c r="A19" s="309"/>
      <c r="B19" s="281" t="s">
        <v>638</v>
      </c>
      <c r="C19" s="282" t="str">
        <f>'Loan Feature Input'!E52</f>
        <v>NSW</v>
      </c>
      <c r="D19" s="2"/>
      <c r="E19" s="2"/>
      <c r="F19" s="2"/>
      <c r="G19" s="311"/>
    </row>
    <row r="20" spans="1:7">
      <c r="A20" s="309"/>
      <c r="B20" s="281" t="s">
        <v>639</v>
      </c>
      <c r="C20" s="282" t="str">
        <f>'Loan Feature Input'!E6</f>
        <v>Sub-prime</v>
      </c>
      <c r="D20" s="2"/>
      <c r="E20" s="281" t="s">
        <v>641</v>
      </c>
      <c r="F20" s="289">
        <f ca="1">'Subordinate Calculator'!P42</f>
        <v>0.50656896712905486</v>
      </c>
      <c r="G20" s="311"/>
    </row>
    <row r="21" spans="1:7">
      <c r="A21" s="309"/>
      <c r="B21" s="281" t="s">
        <v>263</v>
      </c>
      <c r="C21" s="284">
        <f>'Loan Feature Input'!E10</f>
        <v>0.7</v>
      </c>
      <c r="D21" s="2"/>
      <c r="E21" s="281" t="s">
        <v>642</v>
      </c>
      <c r="F21" s="289">
        <f ca="1">'Subordinate Calculator'!P45</f>
        <v>0.45571428571428568</v>
      </c>
      <c r="G21" s="311"/>
    </row>
    <row r="22" spans="1:7">
      <c r="A22" s="309"/>
      <c r="B22" s="281" t="s">
        <v>640</v>
      </c>
      <c r="C22" s="290" t="str">
        <f>Input!R146</f>
        <v>-</v>
      </c>
      <c r="D22" s="2"/>
      <c r="E22" s="281" t="s">
        <v>643</v>
      </c>
      <c r="F22" s="288">
        <f ca="1">'Subordinate Calculator'!P46</f>
        <v>0.23085071502024071</v>
      </c>
      <c r="G22" s="311"/>
    </row>
    <row r="23" spans="1:7" ht="16" thickBot="1">
      <c r="A23" s="307"/>
      <c r="B23" s="277"/>
      <c r="C23" s="277"/>
      <c r="D23" s="277"/>
      <c r="E23" s="277"/>
      <c r="F23" s="277"/>
      <c r="G23" s="308"/>
    </row>
    <row r="24" spans="1:7" ht="16" thickTop="1">
      <c r="A24" s="309"/>
      <c r="B24" s="2"/>
      <c r="C24" s="2"/>
      <c r="D24" s="2"/>
      <c r="E24" s="2"/>
      <c r="F24" s="2"/>
      <c r="G24" s="311"/>
    </row>
    <row r="25" spans="1:7" ht="21">
      <c r="A25" s="309"/>
      <c r="B25" s="312" t="s">
        <v>644</v>
      </c>
      <c r="C25" s="2"/>
      <c r="D25" s="2"/>
      <c r="E25" s="2"/>
      <c r="F25" s="2"/>
      <c r="G25" s="311"/>
    </row>
    <row r="26" spans="1:7">
      <c r="A26" s="309"/>
      <c r="B26" s="2"/>
      <c r="C26" s="2"/>
      <c r="D26" s="2"/>
      <c r="E26" s="2"/>
      <c r="F26" s="2"/>
      <c r="G26" s="311"/>
    </row>
    <row r="27" spans="1:7">
      <c r="A27" s="309"/>
      <c r="B27" s="281" t="s">
        <v>645</v>
      </c>
      <c r="C27" s="282" t="str">
        <f>'Loan Feature Input'!E6</f>
        <v>Sub-prime</v>
      </c>
      <c r="D27" s="2"/>
      <c r="E27" s="281" t="s">
        <v>656</v>
      </c>
      <c r="F27" s="282" t="str">
        <f>'Loan Feature Input'!E52</f>
        <v>NSW</v>
      </c>
      <c r="G27" s="311"/>
    </row>
    <row r="28" spans="1:7">
      <c r="A28" s="309"/>
      <c r="B28" s="281" t="s">
        <v>646</v>
      </c>
      <c r="C28" s="283">
        <f>Input!D20</f>
        <v>0</v>
      </c>
      <c r="D28" s="2"/>
      <c r="E28" s="298" t="s">
        <v>657</v>
      </c>
      <c r="F28" s="283"/>
      <c r="G28" s="311"/>
    </row>
    <row r="29" spans="1:7">
      <c r="A29" s="309"/>
      <c r="B29" s="281" t="s">
        <v>647</v>
      </c>
      <c r="C29" s="283">
        <f>Input!D11</f>
        <v>0</v>
      </c>
      <c r="D29" s="2"/>
      <c r="E29" s="281" t="s">
        <v>658</v>
      </c>
      <c r="F29" s="283">
        <f>SUM(Input!F83:N83)</f>
        <v>0</v>
      </c>
      <c r="G29" s="311"/>
    </row>
    <row r="30" spans="1:7">
      <c r="A30" s="309"/>
      <c r="B30" s="281" t="s">
        <v>648</v>
      </c>
      <c r="C30" s="283">
        <f>Input!F20</f>
        <v>0</v>
      </c>
      <c r="D30" s="2"/>
      <c r="E30" s="298" t="s">
        <v>659</v>
      </c>
      <c r="F30" s="283"/>
      <c r="G30" s="311"/>
    </row>
    <row r="31" spans="1:7">
      <c r="A31" s="309"/>
      <c r="B31" s="281" t="s">
        <v>649</v>
      </c>
      <c r="C31" s="282" t="str">
        <f>'Loan Feature Input'!E33</f>
        <v>Purchase New</v>
      </c>
      <c r="D31" s="2"/>
      <c r="E31" s="281" t="s">
        <v>660</v>
      </c>
      <c r="F31" s="291">
        <f>'Loan Feature Input'!E47*12</f>
        <v>5.9835616438356167</v>
      </c>
      <c r="G31" s="311"/>
    </row>
    <row r="32" spans="1:7">
      <c r="A32" s="309"/>
      <c r="B32" s="281" t="s">
        <v>667</v>
      </c>
      <c r="C32" s="282" t="str">
        <f>'Loan Feature Input'!E18</f>
        <v>Interest Only</v>
      </c>
      <c r="D32" s="2"/>
      <c r="E32" s="298" t="s">
        <v>661</v>
      </c>
      <c r="F32" s="283"/>
      <c r="G32" s="311"/>
    </row>
    <row r="33" spans="1:7">
      <c r="A33" s="309"/>
      <c r="B33" s="281" t="s">
        <v>650</v>
      </c>
      <c r="C33" s="282" t="str">
        <f>'Loan Feature Input'!E31</f>
        <v>No</v>
      </c>
      <c r="D33" s="2"/>
      <c r="E33" s="298" t="s">
        <v>662</v>
      </c>
      <c r="F33" s="283"/>
      <c r="G33" s="311"/>
    </row>
    <row r="34" spans="1:7">
      <c r="A34" s="309"/>
      <c r="B34" s="281" t="s">
        <v>651</v>
      </c>
      <c r="C34" s="286" t="e">
        <f>Calculations!G24</f>
        <v>#REF!</v>
      </c>
      <c r="D34" s="2"/>
      <c r="E34" s="298" t="s">
        <v>663</v>
      </c>
      <c r="F34" s="283"/>
      <c r="G34" s="311"/>
    </row>
    <row r="35" spans="1:7">
      <c r="A35" s="309"/>
      <c r="B35" s="281" t="s">
        <v>652</v>
      </c>
      <c r="C35" s="286">
        <f>Input!D77</f>
        <v>0</v>
      </c>
      <c r="D35" s="2"/>
      <c r="E35" s="298" t="s">
        <v>664</v>
      </c>
      <c r="F35" s="283"/>
      <c r="G35" s="311"/>
    </row>
    <row r="36" spans="1:7">
      <c r="A36" s="309"/>
      <c r="B36" s="281" t="s">
        <v>653</v>
      </c>
      <c r="C36" s="282" t="str">
        <f>'Loan Feature Input'!E29</f>
        <v>PAYE/Full Time</v>
      </c>
      <c r="D36" s="2"/>
      <c r="E36" s="281" t="s">
        <v>665</v>
      </c>
      <c r="F36" s="282">
        <f>'Loan Feature Input'!E34</f>
        <v>1</v>
      </c>
      <c r="G36" s="311"/>
    </row>
    <row r="37" spans="1:7">
      <c r="A37" s="309"/>
      <c r="B37" s="281" t="s">
        <v>654</v>
      </c>
      <c r="C37" s="282" t="str">
        <f>'Loan Feature Input'!E11</f>
        <v>Full Doc</v>
      </c>
      <c r="D37" s="2"/>
      <c r="E37" s="298" t="s">
        <v>666</v>
      </c>
      <c r="F37" s="283"/>
      <c r="G37" s="311"/>
    </row>
    <row r="38" spans="1:7">
      <c r="A38" s="309"/>
      <c r="B38" s="298" t="s">
        <v>655</v>
      </c>
      <c r="C38" s="283"/>
      <c r="D38" s="2"/>
      <c r="E38" s="281"/>
      <c r="F38" s="287"/>
      <c r="G38" s="311"/>
    </row>
    <row r="39" spans="1:7" ht="16" thickBot="1">
      <c r="A39" s="307"/>
      <c r="B39" s="277"/>
      <c r="C39" s="277"/>
      <c r="D39" s="277"/>
      <c r="E39" s="277"/>
      <c r="F39" s="277"/>
      <c r="G39" s="308"/>
    </row>
    <row r="40" spans="1:7" ht="16" thickTop="1">
      <c r="A40" s="309"/>
      <c r="B40" s="2"/>
      <c r="C40" s="2"/>
      <c r="D40" s="2"/>
      <c r="E40" s="2"/>
      <c r="F40" s="2"/>
      <c r="G40" s="311"/>
    </row>
    <row r="41" spans="1:7">
      <c r="A41" s="309"/>
      <c r="B41" s="2"/>
      <c r="C41" s="2"/>
      <c r="D41" s="2"/>
      <c r="E41" s="2"/>
      <c r="F41" s="2"/>
      <c r="G41" s="311"/>
    </row>
    <row r="42" spans="1:7">
      <c r="A42" s="309"/>
      <c r="B42" s="2"/>
      <c r="C42" s="2"/>
      <c r="D42" s="2"/>
      <c r="E42" s="2"/>
      <c r="F42" s="2"/>
      <c r="G42" s="311"/>
    </row>
    <row r="43" spans="1:7">
      <c r="A43" s="309"/>
      <c r="B43" s="2"/>
      <c r="C43" s="2"/>
      <c r="D43" s="2"/>
      <c r="E43" s="2"/>
      <c r="F43" s="2"/>
      <c r="G43" s="311"/>
    </row>
    <row r="44" spans="1:7">
      <c r="A44" s="309"/>
      <c r="B44" s="2"/>
      <c r="C44" s="2"/>
      <c r="D44" s="2"/>
      <c r="E44" s="2"/>
      <c r="F44" s="2" t="s">
        <v>668</v>
      </c>
      <c r="G44" s="311"/>
    </row>
    <row r="45" spans="1:7">
      <c r="A45" s="314"/>
      <c r="B45" s="315"/>
      <c r="C45" s="315"/>
      <c r="D45" s="315"/>
      <c r="E45" s="315"/>
      <c r="F45" s="315"/>
      <c r="G45" s="316"/>
    </row>
    <row r="46" spans="1:7">
      <c r="A46" s="304"/>
      <c r="B46" s="305"/>
      <c r="C46" s="305"/>
      <c r="D46" s="305"/>
      <c r="E46" s="305"/>
      <c r="F46" s="305"/>
      <c r="G46" s="306"/>
    </row>
    <row r="47" spans="1:7" ht="27" thickBot="1">
      <c r="A47" s="307"/>
      <c r="B47" s="278" t="s">
        <v>636</v>
      </c>
      <c r="C47" s="277"/>
      <c r="D47" s="277"/>
      <c r="E47" s="279">
        <f ca="1">NOW()</f>
        <v>44439.408470138886</v>
      </c>
      <c r="F47" s="277"/>
      <c r="G47" s="308"/>
    </row>
    <row r="48" spans="1:7" ht="16" thickTop="1">
      <c r="A48" s="309"/>
      <c r="B48" s="2"/>
      <c r="C48" s="2"/>
      <c r="D48" s="2"/>
      <c r="E48" s="2"/>
      <c r="F48" s="2"/>
      <c r="G48" s="311"/>
    </row>
    <row r="49" spans="1:7" ht="21">
      <c r="A49" s="309"/>
      <c r="B49" s="312" t="s">
        <v>670</v>
      </c>
      <c r="C49" s="2"/>
      <c r="D49" s="2"/>
      <c r="E49" s="2"/>
      <c r="F49" s="2"/>
      <c r="G49" s="311"/>
    </row>
    <row r="50" spans="1:7">
      <c r="A50" s="309"/>
      <c r="B50" s="2"/>
      <c r="C50" s="2"/>
      <c r="D50" s="2"/>
      <c r="E50" s="2"/>
      <c r="F50" s="2"/>
      <c r="G50" s="311"/>
    </row>
    <row r="51" spans="1:7">
      <c r="A51" s="309"/>
      <c r="B51" s="299" t="s">
        <v>671</v>
      </c>
      <c r="C51" s="286">
        <f>Input!D77</f>
        <v>0</v>
      </c>
      <c r="D51" s="2"/>
      <c r="E51" s="299" t="s">
        <v>184</v>
      </c>
      <c r="F51" s="284">
        <f>Input!R142</f>
        <v>0</v>
      </c>
      <c r="G51" s="311"/>
    </row>
    <row r="52" spans="1:7">
      <c r="A52" s="309"/>
      <c r="B52" s="300" t="s">
        <v>672</v>
      </c>
      <c r="C52" s="283"/>
      <c r="D52" s="2"/>
      <c r="E52" s="299" t="s">
        <v>682</v>
      </c>
      <c r="F52" s="284">
        <f>Input!R143</f>
        <v>0</v>
      </c>
      <c r="G52" s="311"/>
    </row>
    <row r="53" spans="1:7">
      <c r="A53" s="309"/>
      <c r="B53" s="299" t="s">
        <v>673</v>
      </c>
      <c r="C53" s="286">
        <f>Input!H141</f>
        <v>0</v>
      </c>
      <c r="D53" s="2"/>
      <c r="E53" s="299" t="s">
        <v>681</v>
      </c>
      <c r="F53" s="292" t="str">
        <f>Input!R144</f>
        <v>-</v>
      </c>
      <c r="G53" s="311"/>
    </row>
    <row r="54" spans="1:7">
      <c r="A54" s="309"/>
      <c r="B54" s="299" t="s">
        <v>679</v>
      </c>
      <c r="C54" s="286">
        <f>Input!H143</f>
        <v>0</v>
      </c>
      <c r="D54" s="2"/>
      <c r="E54" s="299" t="s">
        <v>34</v>
      </c>
      <c r="F54" s="292" t="str">
        <f>Input!R145</f>
        <v>-</v>
      </c>
      <c r="G54" s="311"/>
    </row>
    <row r="55" spans="1:7">
      <c r="A55" s="309"/>
      <c r="B55" s="299" t="s">
        <v>685</v>
      </c>
      <c r="C55" s="286">
        <f>Input!H144</f>
        <v>0</v>
      </c>
      <c r="D55" s="2"/>
      <c r="E55" s="299" t="s">
        <v>185</v>
      </c>
      <c r="F55" s="290" t="str">
        <f>Input!R146</f>
        <v>-</v>
      </c>
      <c r="G55" s="311"/>
    </row>
    <row r="56" spans="1:7">
      <c r="A56" s="309"/>
      <c r="B56" s="299" t="s">
        <v>680</v>
      </c>
      <c r="C56" s="286">
        <f>Input!H148</f>
        <v>0</v>
      </c>
      <c r="D56" s="2"/>
      <c r="E56" s="299" t="s">
        <v>677</v>
      </c>
      <c r="F56" s="285">
        <f>Input!R20</f>
        <v>0</v>
      </c>
      <c r="G56" s="311"/>
    </row>
    <row r="57" spans="1:7">
      <c r="A57" s="309"/>
      <c r="B57" s="299" t="s">
        <v>674</v>
      </c>
      <c r="C57" s="283">
        <f>Input!D20</f>
        <v>0</v>
      </c>
      <c r="D57" s="2"/>
      <c r="E57" s="299" t="s">
        <v>678</v>
      </c>
      <c r="F57" s="286">
        <f>Input!P140</f>
        <v>0</v>
      </c>
      <c r="G57" s="311"/>
    </row>
    <row r="58" spans="1:7">
      <c r="A58" s="309"/>
      <c r="B58" s="299" t="s">
        <v>675</v>
      </c>
      <c r="C58" s="284">
        <f>Input!P12</f>
        <v>5.2499999999999998E-2</v>
      </c>
      <c r="D58" s="2"/>
      <c r="E58" s="299"/>
      <c r="F58" s="287"/>
      <c r="G58" s="311"/>
    </row>
    <row r="59" spans="1:7">
      <c r="A59" s="309"/>
      <c r="B59" s="299" t="s">
        <v>676</v>
      </c>
      <c r="C59" s="283">
        <f>Input!F20</f>
        <v>0</v>
      </c>
      <c r="D59" s="2"/>
      <c r="E59" s="299" t="s">
        <v>683</v>
      </c>
      <c r="F59" s="283" t="str">
        <f ca="1">Input!P148</f>
        <v>PASS</v>
      </c>
      <c r="G59" s="311"/>
    </row>
    <row r="60" spans="1:7" ht="16" thickBot="1">
      <c r="A60" s="307"/>
      <c r="B60" s="277"/>
      <c r="C60" s="277"/>
      <c r="D60" s="277"/>
      <c r="E60" s="277"/>
      <c r="F60" s="277"/>
      <c r="G60" s="308"/>
    </row>
    <row r="61" spans="1:7" ht="16" thickTop="1">
      <c r="A61" s="309"/>
      <c r="B61" s="2"/>
      <c r="C61" s="2"/>
      <c r="D61" s="2"/>
      <c r="E61" s="2"/>
      <c r="F61" s="2"/>
      <c r="G61" s="311"/>
    </row>
    <row r="62" spans="1:7" ht="21">
      <c r="A62" s="309"/>
      <c r="B62" s="312" t="s">
        <v>684</v>
      </c>
      <c r="C62" s="2"/>
      <c r="D62" s="2"/>
      <c r="E62" s="2"/>
      <c r="F62" s="2"/>
      <c r="G62" s="311"/>
    </row>
    <row r="63" spans="1:7">
      <c r="A63" s="309"/>
      <c r="B63" s="2"/>
      <c r="C63" s="317" t="s">
        <v>514</v>
      </c>
      <c r="D63" s="2"/>
      <c r="E63" s="2"/>
      <c r="F63" s="317" t="s">
        <v>514</v>
      </c>
      <c r="G63" s="311"/>
    </row>
    <row r="64" spans="1:7">
      <c r="A64" s="309"/>
      <c r="B64" s="301" t="s">
        <v>356</v>
      </c>
      <c r="C64" s="293">
        <f>'Subordinate Calculator'!P10</f>
        <v>0.81787944117144229</v>
      </c>
      <c r="D64" s="2"/>
      <c r="E64" s="301" t="s">
        <v>415</v>
      </c>
      <c r="F64" s="287">
        <f ca="1">'Subordinate Calculator'!P25</f>
        <v>1</v>
      </c>
      <c r="G64" s="311"/>
    </row>
    <row r="65" spans="1:7">
      <c r="A65" s="309"/>
      <c r="B65" s="301" t="s">
        <v>361</v>
      </c>
      <c r="C65" s="293">
        <f>'Subordinate Calculator'!P11</f>
        <v>1</v>
      </c>
      <c r="D65" s="2"/>
      <c r="E65" s="301" t="s">
        <v>418</v>
      </c>
      <c r="F65" s="287">
        <f ca="1">'Subordinate Calculator'!P26</f>
        <v>2.5</v>
      </c>
      <c r="G65" s="311"/>
    </row>
    <row r="66" spans="1:7">
      <c r="A66" s="309"/>
      <c r="B66" s="301" t="s">
        <v>366</v>
      </c>
      <c r="C66" s="293">
        <f ca="1">'Subordinate Calculator'!P12</f>
        <v>1</v>
      </c>
      <c r="D66" s="2"/>
      <c r="E66" s="301" t="s">
        <v>422</v>
      </c>
      <c r="F66" s="287">
        <f ca="1">'Subordinate Calculator'!P27</f>
        <v>1</v>
      </c>
      <c r="G66" s="311"/>
    </row>
    <row r="67" spans="1:7">
      <c r="A67" s="309"/>
      <c r="B67" s="301" t="s">
        <v>369</v>
      </c>
      <c r="C67" s="293">
        <f ca="1">'Subordinate Calculator'!P13</f>
        <v>1</v>
      </c>
      <c r="D67" s="2"/>
      <c r="E67" s="301" t="s">
        <v>425</v>
      </c>
      <c r="F67" s="287">
        <f>'Subordinate Calculator'!P28</f>
        <v>1</v>
      </c>
      <c r="G67" s="311"/>
    </row>
    <row r="68" spans="1:7">
      <c r="A68" s="309"/>
      <c r="B68" s="301" t="s">
        <v>379</v>
      </c>
      <c r="C68" s="293">
        <f ca="1">'Subordinate Calculator'!P14</f>
        <v>1.1000000000000001</v>
      </c>
      <c r="D68" s="2"/>
      <c r="E68" s="301" t="s">
        <v>428</v>
      </c>
      <c r="F68" s="287">
        <f ca="1">'Subordinate Calculator'!P29</f>
        <v>1</v>
      </c>
      <c r="G68" s="311"/>
    </row>
    <row r="69" spans="1:7">
      <c r="A69" s="309"/>
      <c r="B69" s="301" t="s">
        <v>384</v>
      </c>
      <c r="C69" s="293">
        <f ca="1">'Subordinate Calculator'!P15</f>
        <v>1</v>
      </c>
      <c r="D69" s="2"/>
      <c r="E69" s="301" t="s">
        <v>431</v>
      </c>
      <c r="F69" s="287">
        <f ca="1">'Subordinate Calculator'!P30</f>
        <v>1</v>
      </c>
      <c r="G69" s="311"/>
    </row>
    <row r="70" spans="1:7">
      <c r="A70" s="309"/>
      <c r="B70" s="301" t="s">
        <v>387</v>
      </c>
      <c r="C70" s="293">
        <f ca="1">'Subordinate Calculator'!P16</f>
        <v>1</v>
      </c>
      <c r="D70" s="2"/>
      <c r="E70" s="301" t="s">
        <v>433</v>
      </c>
      <c r="F70" s="287">
        <f ca="1">'Subordinate Calculator'!P31</f>
        <v>1</v>
      </c>
      <c r="G70" s="311"/>
    </row>
    <row r="71" spans="1:7">
      <c r="A71" s="309"/>
      <c r="B71" s="301" t="s">
        <v>391</v>
      </c>
      <c r="C71" s="293">
        <f ca="1">'Subordinate Calculator'!P17</f>
        <v>1.05</v>
      </c>
      <c r="D71" s="2"/>
      <c r="E71" s="301" t="s">
        <v>436</v>
      </c>
      <c r="F71" s="287">
        <f ca="1">'Subordinate Calculator'!P32</f>
        <v>1.2</v>
      </c>
      <c r="G71" s="311"/>
    </row>
    <row r="72" spans="1:7">
      <c r="A72" s="309"/>
      <c r="B72" s="301" t="s">
        <v>395</v>
      </c>
      <c r="C72" s="293">
        <f ca="1">'Subordinate Calculator'!P18</f>
        <v>1</v>
      </c>
      <c r="D72" s="2"/>
      <c r="E72" s="301" t="s">
        <v>439</v>
      </c>
      <c r="F72" s="287">
        <f ca="1">'Subordinate Calculator'!P33</f>
        <v>1</v>
      </c>
      <c r="G72" s="311"/>
    </row>
    <row r="73" spans="1:7">
      <c r="A73" s="309"/>
      <c r="B73" s="301" t="s">
        <v>398</v>
      </c>
      <c r="C73" s="293">
        <f>'Subordinate Calculator'!P19</f>
        <v>1.3</v>
      </c>
      <c r="D73" s="2"/>
      <c r="E73" s="301" t="s">
        <v>442</v>
      </c>
      <c r="F73" s="287">
        <f ca="1">'Subordinate Calculator'!P34</f>
        <v>1</v>
      </c>
      <c r="G73" s="311"/>
    </row>
    <row r="74" spans="1:7">
      <c r="A74" s="309"/>
      <c r="B74" s="301" t="s">
        <v>402</v>
      </c>
      <c r="C74" s="293">
        <f ca="1">'Subordinate Calculator'!P20</f>
        <v>1</v>
      </c>
      <c r="D74" s="2"/>
      <c r="E74" s="301" t="s">
        <v>446</v>
      </c>
      <c r="F74" s="287">
        <f ca="1">'Subordinate Calculator'!P35</f>
        <v>18</v>
      </c>
      <c r="G74" s="311"/>
    </row>
    <row r="75" spans="1:7">
      <c r="A75" s="309"/>
      <c r="B75" s="301" t="s">
        <v>405</v>
      </c>
      <c r="C75" s="293">
        <f ca="1">'Subordinate Calculator'!P21</f>
        <v>1.1000000000000001</v>
      </c>
      <c r="D75" s="2"/>
      <c r="E75" s="301" t="s">
        <v>450</v>
      </c>
      <c r="F75" s="287">
        <f>'Subordinate Calculator'!P36</f>
        <v>5000</v>
      </c>
      <c r="G75" s="311"/>
    </row>
    <row r="76" spans="1:7">
      <c r="A76" s="309"/>
      <c r="B76" s="301" t="s">
        <v>407</v>
      </c>
      <c r="C76" s="293">
        <f ca="1">'Subordinate Calculator'!P22</f>
        <v>1.5</v>
      </c>
      <c r="D76" s="2"/>
      <c r="E76" s="301" t="s">
        <v>452</v>
      </c>
      <c r="F76" s="287">
        <f>'Subordinate Calculator'!P37</f>
        <v>0.05</v>
      </c>
      <c r="G76" s="311"/>
    </row>
    <row r="77" spans="1:7">
      <c r="A77" s="309"/>
      <c r="B77" s="301" t="s">
        <v>410</v>
      </c>
      <c r="C77" s="293">
        <f ca="1">'Subordinate Calculator'!P23</f>
        <v>1</v>
      </c>
      <c r="D77" s="2"/>
      <c r="E77" s="301" t="s">
        <v>456</v>
      </c>
      <c r="F77" s="293">
        <f ca="1">'Subordinate Calculator'!P38</f>
        <v>5.0656896712905484</v>
      </c>
      <c r="G77" s="311"/>
    </row>
    <row r="78" spans="1:7">
      <c r="A78" s="309"/>
      <c r="B78" s="301" t="s">
        <v>413</v>
      </c>
      <c r="C78" s="293">
        <f ca="1">'Subordinate Calculator'!P24</f>
        <v>1</v>
      </c>
      <c r="D78" s="2"/>
      <c r="E78" s="301" t="s">
        <v>459</v>
      </c>
      <c r="F78" s="287">
        <f ca="1">'Subordinate Calculator'!P39</f>
        <v>1.2</v>
      </c>
      <c r="G78" s="311"/>
    </row>
    <row r="79" spans="1:7">
      <c r="A79" s="309"/>
      <c r="B79" s="2"/>
      <c r="C79" s="2"/>
      <c r="D79" s="2"/>
      <c r="E79" s="2"/>
      <c r="F79" s="2"/>
      <c r="G79" s="311"/>
    </row>
    <row r="80" spans="1:7">
      <c r="A80" s="309"/>
      <c r="B80" s="281" t="s">
        <v>464</v>
      </c>
      <c r="C80" s="283" t="str">
        <f>'Subordinate Calculator'!P41</f>
        <v>AAA</v>
      </c>
      <c r="D80" s="2"/>
      <c r="E80" s="2"/>
      <c r="F80" s="318"/>
      <c r="G80" s="311"/>
    </row>
    <row r="81" spans="1:7">
      <c r="A81" s="309"/>
      <c r="B81" s="281" t="s">
        <v>467</v>
      </c>
      <c r="C81" s="296">
        <f ca="1">'Subordinate Calculator'!P42</f>
        <v>0.50656896712905486</v>
      </c>
      <c r="D81" s="2"/>
      <c r="E81" s="2"/>
      <c r="F81" s="2"/>
      <c r="G81" s="311"/>
    </row>
    <row r="82" spans="1:7">
      <c r="A82" s="309"/>
      <c r="B82" s="281" t="s">
        <v>437</v>
      </c>
      <c r="C82" s="296">
        <f ca="1">'Subordinate Calculator'!P43</f>
        <v>0.54</v>
      </c>
      <c r="D82" s="2"/>
      <c r="E82" s="2"/>
      <c r="F82" s="2"/>
      <c r="G82" s="311"/>
    </row>
    <row r="83" spans="1:7">
      <c r="A83" s="309"/>
      <c r="B83" s="281" t="s">
        <v>470</v>
      </c>
      <c r="C83" s="297">
        <f ca="1">'Subordinate Calculator'!P44</f>
        <v>-455714.28571428568</v>
      </c>
      <c r="D83" s="2"/>
      <c r="E83" s="2"/>
      <c r="F83" s="2"/>
      <c r="G83" s="311"/>
    </row>
    <row r="84" spans="1:7">
      <c r="A84" s="309"/>
      <c r="B84" s="281" t="s">
        <v>473</v>
      </c>
      <c r="C84" s="296">
        <f ca="1">'Subordinate Calculator'!P45</f>
        <v>0.45571428571428568</v>
      </c>
      <c r="D84" s="2"/>
      <c r="E84" s="2"/>
      <c r="F84" s="2"/>
      <c r="G84" s="311"/>
    </row>
    <row r="85" spans="1:7">
      <c r="A85" s="309"/>
      <c r="B85" s="281" t="s">
        <v>475</v>
      </c>
      <c r="C85" s="296">
        <f ca="1">'Subordinate Calculator'!P46</f>
        <v>0.23085071502024071</v>
      </c>
      <c r="D85" s="2"/>
      <c r="E85" s="2"/>
      <c r="F85" s="2"/>
      <c r="G85" s="311"/>
    </row>
    <row r="86" spans="1:7">
      <c r="A86" s="309"/>
      <c r="B86" s="2"/>
      <c r="C86" s="2"/>
      <c r="D86" s="2"/>
      <c r="E86" s="2"/>
      <c r="F86" s="2"/>
      <c r="G86" s="311"/>
    </row>
    <row r="87" spans="1:7">
      <c r="A87" s="309"/>
      <c r="B87" s="2"/>
      <c r="C87" s="2"/>
      <c r="D87" s="2"/>
      <c r="E87" s="2"/>
      <c r="F87" s="2"/>
      <c r="G87" s="311"/>
    </row>
    <row r="88" spans="1:7">
      <c r="A88" s="309"/>
      <c r="B88" s="2"/>
      <c r="C88" s="2"/>
      <c r="D88" s="2"/>
      <c r="E88" s="2"/>
      <c r="F88" s="2"/>
      <c r="G88" s="311"/>
    </row>
    <row r="89" spans="1:7">
      <c r="A89" s="309"/>
      <c r="B89" s="2"/>
      <c r="C89" s="2"/>
      <c r="D89" s="2"/>
      <c r="E89" s="2"/>
      <c r="F89" s="2" t="s">
        <v>669</v>
      </c>
      <c r="G89" s="311"/>
    </row>
    <row r="90" spans="1:7">
      <c r="A90" s="314"/>
      <c r="B90" s="315"/>
      <c r="C90" s="315"/>
      <c r="D90" s="315"/>
      <c r="E90" s="315"/>
      <c r="F90" s="315"/>
      <c r="G90" s="316"/>
    </row>
    <row r="91" spans="1:7">
      <c r="A91" s="304"/>
      <c r="B91" s="305"/>
      <c r="C91" s="305"/>
      <c r="D91" s="305"/>
      <c r="E91" s="305"/>
      <c r="F91" s="305"/>
      <c r="G91" s="306"/>
    </row>
    <row r="92" spans="1:7" ht="27" thickBot="1">
      <c r="A92" s="307"/>
      <c r="B92" s="278" t="s">
        <v>636</v>
      </c>
      <c r="C92" s="277"/>
      <c r="D92" s="277"/>
      <c r="E92" s="279">
        <f ca="1">NOW()</f>
        <v>44439.408470138886</v>
      </c>
      <c r="F92" s="277"/>
      <c r="G92" s="308"/>
    </row>
    <row r="93" spans="1:7" ht="16" thickTop="1">
      <c r="A93" s="309"/>
      <c r="B93" s="2"/>
      <c r="C93" s="2"/>
      <c r="D93" s="2"/>
      <c r="E93" s="2"/>
      <c r="F93" s="2"/>
      <c r="G93" s="311"/>
    </row>
    <row r="94" spans="1:7" ht="21">
      <c r="A94" s="309"/>
      <c r="B94" s="312" t="s">
        <v>686</v>
      </c>
      <c r="C94" s="2"/>
      <c r="D94" s="2"/>
      <c r="E94" s="2"/>
      <c r="F94" s="2"/>
      <c r="G94" s="311"/>
    </row>
    <row r="95" spans="1:7">
      <c r="A95" s="309"/>
      <c r="B95" s="2"/>
      <c r="C95" s="2"/>
      <c r="D95" s="2"/>
      <c r="E95" s="2"/>
      <c r="F95" s="2"/>
      <c r="G95" s="311"/>
    </row>
    <row r="96" spans="1:7" ht="28.5" customHeight="1">
      <c r="A96" s="309"/>
      <c r="B96" s="302" t="s">
        <v>98</v>
      </c>
      <c r="C96" s="505" t="s">
        <v>688</v>
      </c>
      <c r="D96" s="505"/>
      <c r="E96" s="303" t="s">
        <v>687</v>
      </c>
      <c r="F96" s="281" t="s">
        <v>690</v>
      </c>
      <c r="G96" s="311"/>
    </row>
    <row r="97" spans="1:7">
      <c r="A97" s="309"/>
      <c r="B97" s="295" t="str">
        <f>IF(Input!D107=0,"",Input!D107)</f>
        <v/>
      </c>
      <c r="C97" s="506" t="str">
        <f>IF(Input!H107=0,"",Input!H107)</f>
        <v/>
      </c>
      <c r="D97" s="506"/>
      <c r="E97" s="294" t="str">
        <f>IF(Input!P107=0,"",Input!P107)</f>
        <v/>
      </c>
      <c r="F97" s="287" t="str">
        <f>IF(Input!N107="","",Input!N107)</f>
        <v/>
      </c>
      <c r="G97" s="311"/>
    </row>
    <row r="98" spans="1:7">
      <c r="A98" s="309"/>
      <c r="B98" s="295" t="str">
        <f>IF(Input!D108=0,"",Input!D108)</f>
        <v/>
      </c>
      <c r="C98" s="506" t="str">
        <f>IF(Input!H108=0,"",Input!H108)</f>
        <v/>
      </c>
      <c r="D98" s="506"/>
      <c r="E98" s="294" t="str">
        <f>IF(Input!P108=0,"",Input!P108)</f>
        <v/>
      </c>
      <c r="F98" s="287" t="str">
        <f>IF(Input!N108="","",Input!N108)</f>
        <v/>
      </c>
      <c r="G98" s="311"/>
    </row>
    <row r="99" spans="1:7">
      <c r="A99" s="309"/>
      <c r="B99" s="295" t="str">
        <f>IF(Input!D109=0,"",Input!D109)</f>
        <v/>
      </c>
      <c r="C99" s="506" t="str">
        <f>IF(Input!H109=0,"",Input!H109)</f>
        <v/>
      </c>
      <c r="D99" s="506"/>
      <c r="E99" s="294" t="str">
        <f>IF(Input!P109=0,"",Input!P109)</f>
        <v/>
      </c>
      <c r="F99" s="287" t="str">
        <f>IF(Input!N109="","",Input!N109)</f>
        <v/>
      </c>
      <c r="G99" s="311"/>
    </row>
    <row r="100" spans="1:7">
      <c r="A100" s="309"/>
      <c r="B100" s="295" t="str">
        <f>IF(Input!D110=0,"",Input!D110)</f>
        <v/>
      </c>
      <c r="C100" s="506" t="str">
        <f>IF(Input!H110=0,"",Input!H110)</f>
        <v/>
      </c>
      <c r="D100" s="506"/>
      <c r="E100" s="294" t="str">
        <f>IF(Input!P110=0,"",Input!P110)</f>
        <v/>
      </c>
      <c r="F100" s="287" t="str">
        <f>IF(Input!N110="","",Input!N110)</f>
        <v/>
      </c>
      <c r="G100" s="311"/>
    </row>
    <row r="101" spans="1:7">
      <c r="A101" s="309"/>
      <c r="B101" s="295" t="str">
        <f>IF(Input!D111=0,"",Input!D111)</f>
        <v/>
      </c>
      <c r="C101" s="506" t="str">
        <f>IF(Input!H111=0,"",Input!H111)</f>
        <v/>
      </c>
      <c r="D101" s="506"/>
      <c r="E101" s="294" t="str">
        <f>IF(Input!P111=0,"",Input!P111)</f>
        <v/>
      </c>
      <c r="F101" s="287" t="str">
        <f>IF(Input!N111="","",Input!N111)</f>
        <v/>
      </c>
      <c r="G101" s="311"/>
    </row>
    <row r="102" spans="1:7">
      <c r="A102" s="309"/>
      <c r="B102" s="295" t="str">
        <f>IF(Input!D112=0,"",Input!D112)</f>
        <v/>
      </c>
      <c r="C102" s="506" t="str">
        <f>IF(Input!H112=0,"",Input!H112)</f>
        <v/>
      </c>
      <c r="D102" s="506"/>
      <c r="E102" s="294" t="str">
        <f>IF(Input!P112=0,"",Input!P112)</f>
        <v/>
      </c>
      <c r="F102" s="287" t="str">
        <f>IF(Input!N112="","",Input!N112)</f>
        <v/>
      </c>
      <c r="G102" s="311"/>
    </row>
    <row r="103" spans="1:7">
      <c r="A103" s="309"/>
      <c r="B103" s="295" t="str">
        <f>IF(Input!D113=0,"",Input!D113)</f>
        <v/>
      </c>
      <c r="C103" s="506" t="str">
        <f>IF(Input!H113=0,"",Input!H113)</f>
        <v/>
      </c>
      <c r="D103" s="506"/>
      <c r="E103" s="294" t="str">
        <f>IF(Input!P113=0,"",Input!P113)</f>
        <v/>
      </c>
      <c r="F103" s="287" t="str">
        <f>IF(Input!N113="","",Input!N113)</f>
        <v/>
      </c>
      <c r="G103" s="311"/>
    </row>
    <row r="104" spans="1:7">
      <c r="A104" s="309"/>
      <c r="B104" s="295" t="str">
        <f>IF(Input!D114=0,"",Input!D114)</f>
        <v/>
      </c>
      <c r="C104" s="506" t="str">
        <f>IF(Input!H114=0,"",Input!H114)</f>
        <v/>
      </c>
      <c r="D104" s="506"/>
      <c r="E104" s="294" t="str">
        <f>IF(Input!P114=0,"",Input!P114)</f>
        <v/>
      </c>
      <c r="F104" s="287" t="str">
        <f>IF(Input!N114="","",Input!N114)</f>
        <v/>
      </c>
      <c r="G104" s="311"/>
    </row>
    <row r="105" spans="1:7">
      <c r="A105" s="309"/>
      <c r="B105" s="295" t="str">
        <f>IF(Input!D115=0,"",Input!D115)</f>
        <v/>
      </c>
      <c r="C105" s="506" t="str">
        <f>IF(Input!H115=0,"",Input!H115)</f>
        <v/>
      </c>
      <c r="D105" s="506"/>
      <c r="E105" s="294" t="str">
        <f>IF(Input!P115=0,"",Input!P115)</f>
        <v/>
      </c>
      <c r="F105" s="287" t="str">
        <f>IF(Input!N115="","",Input!N115)</f>
        <v/>
      </c>
      <c r="G105" s="311"/>
    </row>
    <row r="106" spans="1:7">
      <c r="A106" s="309"/>
      <c r="B106" s="295" t="str">
        <f>IF(Input!D116=0,"",Input!D116)</f>
        <v/>
      </c>
      <c r="C106" s="506" t="str">
        <f>IF(Input!H116=0,"",Input!H116)</f>
        <v/>
      </c>
      <c r="D106" s="506"/>
      <c r="E106" s="294" t="str">
        <f>IF(Input!P116=0,"",Input!P116)</f>
        <v/>
      </c>
      <c r="F106" s="287" t="str">
        <f>IF(Input!N116="","",Input!N116)</f>
        <v/>
      </c>
      <c r="G106" s="311"/>
    </row>
    <row r="107" spans="1:7">
      <c r="A107" s="309"/>
      <c r="B107" s="295" t="str">
        <f>IF(Input!D117=0,"",Input!D117)</f>
        <v/>
      </c>
      <c r="C107" s="506" t="str">
        <f>IF(Input!H117=0,"",Input!H117)</f>
        <v/>
      </c>
      <c r="D107" s="506"/>
      <c r="E107" s="294" t="str">
        <f>IF(Input!P117=0,"",Input!P117)</f>
        <v/>
      </c>
      <c r="F107" s="287" t="str">
        <f>IF(Input!N117="","",Input!N117)</f>
        <v/>
      </c>
      <c r="G107" s="311"/>
    </row>
    <row r="108" spans="1:7">
      <c r="A108" s="309"/>
      <c r="B108" s="295" t="str">
        <f>IF(Input!D118=0,"",Input!D118)</f>
        <v/>
      </c>
      <c r="C108" s="506" t="str">
        <f>IF(Input!H118=0,"",Input!H118)</f>
        <v/>
      </c>
      <c r="D108" s="506"/>
      <c r="E108" s="294" t="str">
        <f>IF(Input!P118=0,"",Input!P118)</f>
        <v/>
      </c>
      <c r="F108" s="287" t="str">
        <f>IF(Input!N118="","",Input!N118)</f>
        <v/>
      </c>
      <c r="G108" s="311"/>
    </row>
    <row r="109" spans="1:7">
      <c r="A109" s="309"/>
      <c r="B109" s="295" t="str">
        <f>IF(Input!D119=0,"",Input!D119)</f>
        <v/>
      </c>
      <c r="C109" s="506" t="str">
        <f>IF(Input!H119=0,"",Input!H119)</f>
        <v/>
      </c>
      <c r="D109" s="506"/>
      <c r="E109" s="294" t="str">
        <f>IF(Input!P119=0,"",Input!P119)</f>
        <v/>
      </c>
      <c r="F109" s="287" t="str">
        <f>IF(Input!N119="","",Input!N119)</f>
        <v/>
      </c>
      <c r="G109" s="311"/>
    </row>
    <row r="110" spans="1:7">
      <c r="A110" s="309"/>
      <c r="B110" s="295" t="str">
        <f>IF(Input!D120=0,"",Input!D120)</f>
        <v/>
      </c>
      <c r="C110" s="506" t="str">
        <f>IF(Input!H120=0,"",Input!H120)</f>
        <v/>
      </c>
      <c r="D110" s="506"/>
      <c r="E110" s="294" t="str">
        <f>IF(Input!P120=0,"",Input!P120)</f>
        <v/>
      </c>
      <c r="F110" s="287" t="str">
        <f>IF(Input!N120="","",Input!N120)</f>
        <v/>
      </c>
      <c r="G110" s="311"/>
    </row>
    <row r="111" spans="1:7">
      <c r="A111" s="309"/>
      <c r="B111" s="295" t="str">
        <f>IF(Input!D121=0,"",Input!D121)</f>
        <v/>
      </c>
      <c r="C111" s="506" t="str">
        <f>IF(Input!H121=0,"",Input!H121)</f>
        <v/>
      </c>
      <c r="D111" s="506"/>
      <c r="E111" s="294" t="str">
        <f>IF(Input!P121=0,"",Input!P121)</f>
        <v/>
      </c>
      <c r="F111" s="287" t="str">
        <f>IF(Input!N121="","",Input!N121)</f>
        <v/>
      </c>
      <c r="G111" s="311"/>
    </row>
    <row r="112" spans="1:7">
      <c r="A112" s="309"/>
      <c r="B112" s="295" t="str">
        <f>IF(Input!D122=0,"",Input!D122)</f>
        <v/>
      </c>
      <c r="C112" s="506" t="str">
        <f>IF(Input!H122=0,"",Input!H122)</f>
        <v/>
      </c>
      <c r="D112" s="506"/>
      <c r="E112" s="294" t="str">
        <f>IF(Input!P122=0,"",Input!P122)</f>
        <v/>
      </c>
      <c r="F112" s="287" t="str">
        <f>IF(Input!N122="","",Input!N122)</f>
        <v/>
      </c>
      <c r="G112" s="311"/>
    </row>
    <row r="113" spans="1:7">
      <c r="A113" s="309"/>
      <c r="B113" s="295" t="str">
        <f>IF(Input!D123=0,"",Input!D123)</f>
        <v/>
      </c>
      <c r="C113" s="506" t="str">
        <f>IF(Input!H123=0,"",Input!H123)</f>
        <v/>
      </c>
      <c r="D113" s="506"/>
      <c r="E113" s="294" t="str">
        <f>IF(Input!P123=0,"",Input!P123)</f>
        <v/>
      </c>
      <c r="F113" s="287" t="str">
        <f>IF(Input!N123="","",Input!N123)</f>
        <v/>
      </c>
      <c r="G113" s="311"/>
    </row>
    <row r="114" spans="1:7">
      <c r="A114" s="309"/>
      <c r="B114" s="295" t="str">
        <f>IF(Input!D124=0,"",Input!D124)</f>
        <v/>
      </c>
      <c r="C114" s="506" t="str">
        <f>IF(Input!H124=0,"",Input!H124)</f>
        <v/>
      </c>
      <c r="D114" s="506"/>
      <c r="E114" s="294" t="str">
        <f>IF(Input!P124=0,"",Input!P124)</f>
        <v/>
      </c>
      <c r="F114" s="287" t="str">
        <f>IF(Input!N124="","",Input!N124)</f>
        <v/>
      </c>
      <c r="G114" s="311"/>
    </row>
    <row r="115" spans="1:7">
      <c r="A115" s="309"/>
      <c r="B115" s="295" t="str">
        <f>IF(Input!D125=0,"",Input!D125)</f>
        <v/>
      </c>
      <c r="C115" s="506" t="str">
        <f>IF(Input!H125=0,"",Input!H125)</f>
        <v/>
      </c>
      <c r="D115" s="506"/>
      <c r="E115" s="294" t="str">
        <f>IF(Input!P125=0,"",Input!P125)</f>
        <v/>
      </c>
      <c r="F115" s="287" t="str">
        <f>IF(Input!N125="","",Input!N125)</f>
        <v/>
      </c>
      <c r="G115" s="311"/>
    </row>
    <row r="116" spans="1:7">
      <c r="A116" s="309"/>
      <c r="B116" s="295" t="str">
        <f>IF(Input!D126=0,"",Input!D126)</f>
        <v/>
      </c>
      <c r="C116" s="506" t="str">
        <f>IF(Input!H126=0,"",Input!H126)</f>
        <v/>
      </c>
      <c r="D116" s="506"/>
      <c r="E116" s="294" t="str">
        <f>IF(Input!P126=0,"",Input!P126)</f>
        <v/>
      </c>
      <c r="F116" s="287" t="str">
        <f>IF(Input!N126="","",Input!N126)</f>
        <v/>
      </c>
      <c r="G116" s="311"/>
    </row>
    <row r="117" spans="1:7">
      <c r="A117" s="309"/>
      <c r="B117" s="295" t="str">
        <f>IF(Input!D127=0,"",Input!D127)</f>
        <v/>
      </c>
      <c r="C117" s="506" t="str">
        <f>IF(Input!H127=0,"",Input!H127)</f>
        <v/>
      </c>
      <c r="D117" s="506"/>
      <c r="E117" s="294" t="str">
        <f>IF(Input!P127=0,"",Input!P127)</f>
        <v/>
      </c>
      <c r="F117" s="287" t="str">
        <f>IF(Input!N127="","",Input!N127)</f>
        <v/>
      </c>
      <c r="G117" s="311"/>
    </row>
    <row r="118" spans="1:7">
      <c r="A118" s="309"/>
      <c r="B118" s="2"/>
      <c r="C118" s="2"/>
      <c r="D118" s="2"/>
      <c r="E118" s="2"/>
      <c r="F118" s="2"/>
      <c r="G118" s="311"/>
    </row>
    <row r="119" spans="1:7">
      <c r="A119" s="309"/>
      <c r="B119" s="2"/>
      <c r="C119" s="2"/>
      <c r="D119" s="2"/>
      <c r="E119" s="2"/>
      <c r="F119" s="2"/>
      <c r="G119" s="311"/>
    </row>
    <row r="120" spans="1:7">
      <c r="A120" s="309"/>
      <c r="B120" s="2"/>
      <c r="C120" s="2"/>
      <c r="D120" s="2"/>
      <c r="E120" s="2"/>
      <c r="F120" s="2"/>
      <c r="G120" s="311"/>
    </row>
    <row r="121" spans="1:7">
      <c r="A121" s="309"/>
      <c r="B121" s="2"/>
      <c r="C121" s="2"/>
      <c r="D121" s="2"/>
      <c r="E121" s="2"/>
      <c r="F121" s="2"/>
      <c r="G121" s="311"/>
    </row>
    <row r="122" spans="1:7">
      <c r="A122" s="309"/>
      <c r="B122" s="2"/>
      <c r="C122" s="2"/>
      <c r="D122" s="2"/>
      <c r="E122" s="2"/>
      <c r="F122" s="2"/>
      <c r="G122" s="311"/>
    </row>
    <row r="123" spans="1:7">
      <c r="A123" s="309"/>
      <c r="B123" s="2"/>
      <c r="C123" s="2"/>
      <c r="D123" s="2"/>
      <c r="E123" s="2"/>
      <c r="F123" s="2"/>
      <c r="G123" s="311"/>
    </row>
    <row r="124" spans="1:7">
      <c r="A124" s="309"/>
      <c r="B124" s="2"/>
      <c r="C124" s="2"/>
      <c r="D124" s="2"/>
      <c r="E124" s="2"/>
      <c r="F124" s="2"/>
      <c r="G124" s="311"/>
    </row>
    <row r="125" spans="1:7">
      <c r="A125" s="309"/>
      <c r="B125" s="2"/>
      <c r="C125" s="2"/>
      <c r="D125" s="2"/>
      <c r="E125" s="2"/>
      <c r="F125" s="2"/>
      <c r="G125" s="311"/>
    </row>
    <row r="126" spans="1:7">
      <c r="A126" s="309"/>
      <c r="B126" s="2"/>
      <c r="C126" s="2"/>
      <c r="D126" s="2"/>
      <c r="E126" s="2"/>
      <c r="F126" s="2"/>
      <c r="G126" s="311"/>
    </row>
    <row r="127" spans="1:7">
      <c r="A127" s="309"/>
      <c r="B127" s="2"/>
      <c r="C127" s="2"/>
      <c r="D127" s="2"/>
      <c r="E127" s="2"/>
      <c r="F127" s="2"/>
      <c r="G127" s="311"/>
    </row>
    <row r="128" spans="1:7">
      <c r="A128" s="309"/>
      <c r="B128" s="2"/>
      <c r="C128" s="2"/>
      <c r="D128" s="2"/>
      <c r="E128" s="2"/>
      <c r="F128" s="2"/>
      <c r="G128" s="311"/>
    </row>
    <row r="129" spans="1:7">
      <c r="A129" s="309"/>
      <c r="B129" s="2"/>
      <c r="C129" s="2"/>
      <c r="D129" s="2"/>
      <c r="E129" s="2"/>
      <c r="F129" s="2"/>
      <c r="G129" s="311"/>
    </row>
    <row r="130" spans="1:7">
      <c r="A130" s="309"/>
      <c r="B130" s="2"/>
      <c r="C130" s="2"/>
      <c r="D130" s="2"/>
      <c r="E130" s="2"/>
      <c r="F130" s="2"/>
      <c r="G130" s="311"/>
    </row>
    <row r="131" spans="1:7">
      <c r="A131" s="309"/>
      <c r="B131" s="2"/>
      <c r="C131" s="2"/>
      <c r="D131" s="2"/>
      <c r="E131" s="2"/>
      <c r="F131" s="2"/>
      <c r="G131" s="311"/>
    </row>
    <row r="132" spans="1:7">
      <c r="A132" s="309"/>
      <c r="B132" s="2"/>
      <c r="C132" s="2"/>
      <c r="D132" s="2"/>
      <c r="E132" s="2"/>
      <c r="F132" s="2"/>
      <c r="G132" s="311"/>
    </row>
    <row r="133" spans="1:7">
      <c r="A133" s="309"/>
      <c r="B133" s="2"/>
      <c r="C133" s="2"/>
      <c r="D133" s="2"/>
      <c r="E133" s="2"/>
      <c r="F133" s="2"/>
      <c r="G133" s="311"/>
    </row>
    <row r="134" spans="1:7">
      <c r="A134" s="309"/>
      <c r="B134" s="2"/>
      <c r="C134" s="2"/>
      <c r="D134" s="2"/>
      <c r="E134" s="2"/>
      <c r="F134" s="2" t="s">
        <v>689</v>
      </c>
      <c r="G134" s="311"/>
    </row>
    <row r="135" spans="1:7">
      <c r="A135" s="314"/>
      <c r="B135" s="315"/>
      <c r="C135" s="315"/>
      <c r="D135" s="315"/>
      <c r="E135" s="315"/>
      <c r="F135" s="315"/>
      <c r="G135" s="316"/>
    </row>
  </sheetData>
  <sheetProtection selectLockedCells="1"/>
  <mergeCells count="22">
    <mergeCell ref="C99:D99"/>
    <mergeCell ref="C104:D104"/>
    <mergeCell ref="C103:D103"/>
    <mergeCell ref="C102:D102"/>
    <mergeCell ref="C101:D101"/>
    <mergeCell ref="C100:D100"/>
    <mergeCell ref="C96:D96"/>
    <mergeCell ref="C97:D97"/>
    <mergeCell ref="C117:D117"/>
    <mergeCell ref="C116:D116"/>
    <mergeCell ref="C115:D115"/>
    <mergeCell ref="C114:D114"/>
    <mergeCell ref="C113:D113"/>
    <mergeCell ref="C112:D112"/>
    <mergeCell ref="C111:D111"/>
    <mergeCell ref="C110:D110"/>
    <mergeCell ref="C98:D98"/>
    <mergeCell ref="C109:D109"/>
    <mergeCell ref="C108:D108"/>
    <mergeCell ref="C107:D107"/>
    <mergeCell ref="C106:D106"/>
    <mergeCell ref="C105:D105"/>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7"/>
  </sheetPr>
  <dimension ref="A1:C51"/>
  <sheetViews>
    <sheetView workbookViewId="0">
      <selection activeCell="G41" sqref="G41"/>
    </sheetView>
  </sheetViews>
  <sheetFormatPr baseColWidth="10" defaultColWidth="9.1640625" defaultRowHeight="15"/>
  <cols>
    <col min="1" max="1" width="3" style="1" bestFit="1" customWidth="1"/>
    <col min="2" max="2" width="35.5" style="1" bestFit="1" customWidth="1"/>
    <col min="3" max="3" width="23.83203125" style="1" customWidth="1"/>
    <col min="4" max="16384" width="9.1640625" style="1"/>
  </cols>
  <sheetData>
    <row r="1" spans="1:3">
      <c r="A1" s="265" t="s">
        <v>347</v>
      </c>
      <c r="B1" s="266" t="s">
        <v>348</v>
      </c>
      <c r="C1" s="267" t="s">
        <v>349</v>
      </c>
    </row>
    <row r="2" spans="1:3">
      <c r="A2" s="252">
        <v>1</v>
      </c>
      <c r="B2" s="253" t="s">
        <v>355</v>
      </c>
      <c r="C2" s="254">
        <v>1</v>
      </c>
    </row>
    <row r="3" spans="1:3">
      <c r="A3" s="252">
        <f t="shared" ref="A3:A51" ca="1" si="0">OFFSET(A3,-1,)+1</f>
        <v>2</v>
      </c>
      <c r="B3" s="253" t="s">
        <v>359</v>
      </c>
      <c r="C3" s="254" t="s">
        <v>360</v>
      </c>
    </row>
    <row r="4" spans="1:3">
      <c r="A4" s="252">
        <f t="shared" ca="1" si="0"/>
        <v>3</v>
      </c>
      <c r="B4" s="253" t="s">
        <v>364</v>
      </c>
      <c r="C4" s="254" t="s">
        <v>365</v>
      </c>
    </row>
    <row r="5" spans="1:3">
      <c r="A5" s="252">
        <f t="shared" ca="1" si="0"/>
        <v>4</v>
      </c>
      <c r="B5" s="253" t="s">
        <v>368</v>
      </c>
      <c r="C5" s="254">
        <v>1</v>
      </c>
    </row>
    <row r="6" spans="1:3">
      <c r="A6" s="252">
        <f t="shared" ca="1" si="0"/>
        <v>5</v>
      </c>
      <c r="B6" s="253" t="s">
        <v>377</v>
      </c>
      <c r="C6" s="254" t="s">
        <v>378</v>
      </c>
    </row>
    <row r="7" spans="1:3">
      <c r="A7" s="252">
        <f t="shared" ca="1" si="0"/>
        <v>6</v>
      </c>
      <c r="B7" s="253" t="s">
        <v>383</v>
      </c>
      <c r="C7" s="254">
        <v>1000000</v>
      </c>
    </row>
    <row r="8" spans="1:3">
      <c r="A8" s="252">
        <f t="shared" ca="1" si="0"/>
        <v>7</v>
      </c>
      <c r="B8" s="253" t="s">
        <v>386</v>
      </c>
      <c r="C8" s="255">
        <v>0.7</v>
      </c>
    </row>
    <row r="9" spans="1:3">
      <c r="A9" s="252">
        <f t="shared" ca="1" si="0"/>
        <v>8</v>
      </c>
      <c r="B9" s="256" t="s">
        <v>389</v>
      </c>
      <c r="C9" s="257" t="s">
        <v>390</v>
      </c>
    </row>
    <row r="10" spans="1:3">
      <c r="A10" s="252">
        <f t="shared" ca="1" si="0"/>
        <v>9</v>
      </c>
      <c r="B10" s="253" t="s">
        <v>393</v>
      </c>
      <c r="C10" s="254" t="s">
        <v>394</v>
      </c>
    </row>
    <row r="11" spans="1:3">
      <c r="A11" s="252">
        <f t="shared" ca="1" si="0"/>
        <v>10</v>
      </c>
      <c r="B11" s="253" t="s">
        <v>397</v>
      </c>
      <c r="C11" s="254" t="s">
        <v>36</v>
      </c>
    </row>
    <row r="12" spans="1:3">
      <c r="A12" s="252">
        <f t="shared" ca="1" si="0"/>
        <v>11</v>
      </c>
      <c r="B12" s="253" t="s">
        <v>400</v>
      </c>
      <c r="C12" s="254" t="s">
        <v>401</v>
      </c>
    </row>
    <row r="13" spans="1:3">
      <c r="A13" s="252">
        <f t="shared" ca="1" si="0"/>
        <v>12</v>
      </c>
      <c r="B13" s="253" t="s">
        <v>404</v>
      </c>
      <c r="C13" s="254">
        <v>1000000</v>
      </c>
    </row>
    <row r="14" spans="1:3">
      <c r="A14" s="252">
        <f t="shared" ca="1" si="0"/>
        <v>13</v>
      </c>
      <c r="B14" s="253" t="s">
        <v>406</v>
      </c>
      <c r="C14" s="254">
        <v>-1</v>
      </c>
    </row>
    <row r="15" spans="1:3">
      <c r="A15" s="252">
        <f t="shared" ca="1" si="0"/>
        <v>14</v>
      </c>
      <c r="B15" s="253" t="s">
        <v>409</v>
      </c>
      <c r="C15" s="258">
        <v>0</v>
      </c>
    </row>
    <row r="16" spans="1:3">
      <c r="A16" s="252">
        <f t="shared" ca="1" si="0"/>
        <v>15</v>
      </c>
      <c r="B16" s="253" t="s">
        <v>411</v>
      </c>
      <c r="C16" s="254" t="s">
        <v>412</v>
      </c>
    </row>
    <row r="17" spans="1:3">
      <c r="A17" s="252">
        <f t="shared" ca="1" si="0"/>
        <v>16</v>
      </c>
      <c r="B17" s="253" t="s">
        <v>414</v>
      </c>
      <c r="C17" s="259"/>
    </row>
    <row r="18" spans="1:3">
      <c r="A18" s="252">
        <f t="shared" ca="1" si="0"/>
        <v>17</v>
      </c>
      <c r="B18" s="253" t="s">
        <v>417</v>
      </c>
      <c r="C18" s="260">
        <v>2000</v>
      </c>
    </row>
    <row r="19" spans="1:3">
      <c r="A19" s="252">
        <f t="shared" ca="1" si="0"/>
        <v>18</v>
      </c>
      <c r="B19" s="253" t="s">
        <v>420</v>
      </c>
      <c r="C19" s="254" t="s">
        <v>421</v>
      </c>
    </row>
    <row r="20" spans="1:3">
      <c r="A20" s="252">
        <f t="shared" ca="1" si="0"/>
        <v>19</v>
      </c>
      <c r="B20" s="253" t="s">
        <v>424</v>
      </c>
      <c r="C20" s="254">
        <v>1428571.4285714286</v>
      </c>
    </row>
    <row r="21" spans="1:3">
      <c r="A21" s="252">
        <f t="shared" ca="1" si="0"/>
        <v>20</v>
      </c>
      <c r="B21" s="253" t="s">
        <v>427</v>
      </c>
      <c r="C21" s="261">
        <v>43220</v>
      </c>
    </row>
    <row r="22" spans="1:3">
      <c r="A22" s="252">
        <f t="shared" ca="1" si="0"/>
        <v>21</v>
      </c>
      <c r="B22" s="253" t="s">
        <v>430</v>
      </c>
      <c r="C22" s="261">
        <v>54178</v>
      </c>
    </row>
    <row r="23" spans="1:3">
      <c r="A23" s="252">
        <f t="shared" ca="1" si="0"/>
        <v>22</v>
      </c>
      <c r="B23" s="253" t="s">
        <v>432</v>
      </c>
      <c r="C23" s="254">
        <v>-1</v>
      </c>
    </row>
    <row r="24" spans="1:3">
      <c r="A24" s="252">
        <f t="shared" ca="1" si="0"/>
        <v>23</v>
      </c>
      <c r="B24" s="253" t="s">
        <v>435</v>
      </c>
      <c r="C24" s="254">
        <v>3</v>
      </c>
    </row>
    <row r="25" spans="1:3">
      <c r="A25" s="252">
        <f t="shared" ca="1" si="0"/>
        <v>24</v>
      </c>
      <c r="B25" s="253" t="s">
        <v>438</v>
      </c>
      <c r="C25" s="254">
        <v>0</v>
      </c>
    </row>
    <row r="26" spans="1:3">
      <c r="A26" s="252">
        <f t="shared" ca="1" si="0"/>
        <v>25</v>
      </c>
      <c r="B26" s="253" t="s">
        <v>441</v>
      </c>
      <c r="C26" s="254">
        <v>1000000</v>
      </c>
    </row>
    <row r="27" spans="1:3">
      <c r="A27" s="252">
        <f t="shared" ca="1" si="0"/>
        <v>26</v>
      </c>
      <c r="B27" s="253" t="s">
        <v>444</v>
      </c>
      <c r="C27" s="254" t="s">
        <v>445</v>
      </c>
    </row>
    <row r="28" spans="1:3">
      <c r="A28" s="252">
        <f t="shared" ca="1" si="0"/>
        <v>27</v>
      </c>
      <c r="B28" s="253" t="s">
        <v>449</v>
      </c>
      <c r="C28" s="254" t="s">
        <v>305</v>
      </c>
    </row>
    <row r="29" spans="1:3">
      <c r="A29" s="252">
        <f t="shared" ca="1" si="0"/>
        <v>28</v>
      </c>
      <c r="B29" s="253" t="s">
        <v>402</v>
      </c>
      <c r="C29" s="254" t="s">
        <v>36</v>
      </c>
    </row>
    <row r="30" spans="1:3">
      <c r="A30" s="252">
        <f t="shared" ca="1" si="0"/>
        <v>29</v>
      </c>
      <c r="B30" s="253" t="s">
        <v>454</v>
      </c>
      <c r="C30" s="254" t="s">
        <v>455</v>
      </c>
    </row>
    <row r="31" spans="1:3">
      <c r="A31" s="252">
        <f t="shared" ca="1" si="0"/>
        <v>30</v>
      </c>
      <c r="B31" s="253" t="s">
        <v>433</v>
      </c>
      <c r="C31" s="254" t="s">
        <v>458</v>
      </c>
    </row>
    <row r="32" spans="1:3">
      <c r="A32" s="252">
        <f t="shared" ca="1" si="0"/>
        <v>31</v>
      </c>
      <c r="B32" s="253" t="s">
        <v>460</v>
      </c>
      <c r="C32" s="254">
        <v>1</v>
      </c>
    </row>
    <row r="33" spans="1:3">
      <c r="A33" s="252">
        <f t="shared" ca="1" si="0"/>
        <v>32</v>
      </c>
      <c r="B33" s="253" t="s">
        <v>462</v>
      </c>
      <c r="C33" s="254" t="s">
        <v>463</v>
      </c>
    </row>
    <row r="34" spans="1:3">
      <c r="A34" s="252">
        <f t="shared" ca="1" si="0"/>
        <v>33</v>
      </c>
      <c r="B34" s="253" t="s">
        <v>466</v>
      </c>
      <c r="C34" s="262">
        <v>0.7</v>
      </c>
    </row>
    <row r="35" spans="1:3">
      <c r="A35" s="252">
        <f t="shared" ca="1" si="0"/>
        <v>34</v>
      </c>
      <c r="B35" s="253" t="s">
        <v>468</v>
      </c>
      <c r="C35" s="254">
        <v>0</v>
      </c>
    </row>
    <row r="36" spans="1:3">
      <c r="A36" s="252">
        <f t="shared" ca="1" si="0"/>
        <v>35</v>
      </c>
      <c r="B36" s="253" t="s">
        <v>363</v>
      </c>
      <c r="C36" s="263">
        <f>INT(YEARFRAC(C21,C49,3)*12)</f>
        <v>25</v>
      </c>
    </row>
    <row r="37" spans="1:3">
      <c r="A37" s="252">
        <f t="shared" ca="1" si="0"/>
        <v>36</v>
      </c>
      <c r="B37" s="253" t="s">
        <v>472</v>
      </c>
      <c r="C37" s="254">
        <v>27</v>
      </c>
    </row>
    <row r="38" spans="1:3">
      <c r="A38" s="252">
        <f t="shared" ca="1" si="0"/>
        <v>37</v>
      </c>
      <c r="B38" s="253" t="s">
        <v>474</v>
      </c>
      <c r="C38" s="258">
        <v>9.69E-2</v>
      </c>
    </row>
    <row r="39" spans="1:3">
      <c r="A39" s="252">
        <f t="shared" ca="1" si="0"/>
        <v>38</v>
      </c>
      <c r="B39" s="253" t="s">
        <v>422</v>
      </c>
      <c r="C39" s="254" t="s">
        <v>36</v>
      </c>
    </row>
    <row r="40" spans="1:3">
      <c r="A40" s="252">
        <f t="shared" ca="1" si="0"/>
        <v>39</v>
      </c>
      <c r="B40" s="253" t="s">
        <v>476</v>
      </c>
      <c r="C40" s="254" t="s">
        <v>36</v>
      </c>
    </row>
    <row r="41" spans="1:3">
      <c r="A41" s="252">
        <f ca="1">OFFSET(A41,-1,)+1</f>
        <v>40</v>
      </c>
      <c r="B41" s="253" t="s">
        <v>477</v>
      </c>
      <c r="C41" s="254" t="s">
        <v>36</v>
      </c>
    </row>
    <row r="42" spans="1:3">
      <c r="A42" s="252">
        <f t="shared" ca="1" si="0"/>
        <v>41</v>
      </c>
      <c r="B42" s="253" t="s">
        <v>478</v>
      </c>
      <c r="C42" s="254">
        <v>-1</v>
      </c>
    </row>
    <row r="43" spans="1:3">
      <c r="A43" s="252">
        <f t="shared" ca="1" si="0"/>
        <v>42</v>
      </c>
      <c r="B43" s="253" t="s">
        <v>479</v>
      </c>
      <c r="C43" s="254">
        <v>2</v>
      </c>
    </row>
    <row r="44" spans="1:3">
      <c r="A44" s="252">
        <f t="shared" ca="1" si="0"/>
        <v>43</v>
      </c>
      <c r="B44" s="253" t="s">
        <v>480</v>
      </c>
      <c r="C44" s="254">
        <v>0</v>
      </c>
    </row>
    <row r="45" spans="1:3">
      <c r="A45" s="252">
        <f t="shared" ca="1" si="0"/>
        <v>44</v>
      </c>
      <c r="B45" s="253" t="s">
        <v>481</v>
      </c>
      <c r="C45" s="264">
        <v>0.49863013698630138</v>
      </c>
    </row>
    <row r="46" spans="1:3">
      <c r="A46" s="252">
        <f t="shared" ca="1" si="0"/>
        <v>45</v>
      </c>
      <c r="B46" s="253" t="s">
        <v>482</v>
      </c>
      <c r="C46" s="254" t="s">
        <v>36</v>
      </c>
    </row>
    <row r="47" spans="1:3">
      <c r="A47" s="252">
        <f t="shared" ca="1" si="0"/>
        <v>46</v>
      </c>
      <c r="B47" s="253" t="s">
        <v>391</v>
      </c>
      <c r="C47" s="254" t="s">
        <v>36</v>
      </c>
    </row>
    <row r="48" spans="1:3">
      <c r="A48" s="252">
        <f t="shared" ca="1" si="0"/>
        <v>47</v>
      </c>
      <c r="B48" s="253" t="s">
        <v>484</v>
      </c>
      <c r="C48" s="254" t="s">
        <v>455</v>
      </c>
    </row>
    <row r="49" spans="1:3">
      <c r="A49" s="252">
        <f t="shared" ca="1" si="0"/>
        <v>48</v>
      </c>
      <c r="B49" s="253" t="s">
        <v>485</v>
      </c>
      <c r="C49" s="261">
        <v>43982</v>
      </c>
    </row>
    <row r="50" spans="1:3">
      <c r="A50" s="252">
        <f t="shared" ca="1" si="0"/>
        <v>49</v>
      </c>
      <c r="B50" s="253" t="s">
        <v>486</v>
      </c>
      <c r="C50" s="254" t="s">
        <v>307</v>
      </c>
    </row>
    <row r="51" spans="1:3">
      <c r="A51" s="252">
        <f t="shared" ca="1" si="0"/>
        <v>50</v>
      </c>
      <c r="B51" s="253" t="s">
        <v>487</v>
      </c>
      <c r="C51" s="254" t="s">
        <v>488</v>
      </c>
    </row>
  </sheetData>
  <conditionalFormatting sqref="C2:C49">
    <cfRule type="cellIs" dxfId="3" priority="3" operator="lessThan">
      <formula>0</formula>
    </cfRule>
  </conditionalFormatting>
  <conditionalFormatting sqref="C50">
    <cfRule type="cellIs" dxfId="2" priority="2" operator="lessThan">
      <formula>0</formula>
    </cfRule>
  </conditionalFormatting>
  <conditionalFormatting sqref="C51">
    <cfRule type="cellIs" dxfId="1"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0000"/>
  </sheetPr>
  <dimension ref="A2:W132"/>
  <sheetViews>
    <sheetView topLeftCell="A103" workbookViewId="0">
      <selection activeCell="C16" sqref="A1:XFD1048576"/>
    </sheetView>
  </sheetViews>
  <sheetFormatPr baseColWidth="10" defaultColWidth="8.83203125" defaultRowHeight="15"/>
  <cols>
    <col min="1" max="1" width="13.1640625" bestFit="1" customWidth="1"/>
    <col min="2" max="2" width="13.1640625" customWidth="1"/>
    <col min="3" max="3" width="18" bestFit="1" customWidth="1"/>
    <col min="4" max="4" width="13.5" bestFit="1" customWidth="1"/>
    <col min="5" max="5" width="19.33203125" bestFit="1" customWidth="1"/>
    <col min="6" max="7" width="12.6640625" bestFit="1" customWidth="1"/>
    <col min="8" max="8" width="15.1640625" bestFit="1" customWidth="1"/>
    <col min="9" max="9" width="13.33203125" customWidth="1"/>
    <col min="10" max="10" width="12.83203125" customWidth="1"/>
    <col min="11" max="11" width="10.1640625" bestFit="1" customWidth="1"/>
    <col min="12" max="12" width="11.33203125" customWidth="1"/>
    <col min="13" max="13" width="14" customWidth="1"/>
    <col min="14" max="14" width="11.5" bestFit="1" customWidth="1"/>
    <col min="15" max="15" width="9.83203125" bestFit="1" customWidth="1"/>
    <col min="16" max="16" width="9.5" bestFit="1" customWidth="1"/>
    <col min="17" max="17" width="12.5" bestFit="1" customWidth="1"/>
    <col min="18" max="18" width="13" customWidth="1"/>
    <col min="19" max="19" width="12.33203125" customWidth="1"/>
    <col min="20" max="20" width="12.5" bestFit="1" customWidth="1"/>
    <col min="21" max="21" width="9.33203125" bestFit="1" customWidth="1"/>
    <col min="22" max="22" width="11.6640625" bestFit="1" customWidth="1"/>
    <col min="23" max="23" width="12.5" bestFit="1" customWidth="1"/>
  </cols>
  <sheetData>
    <row r="2" spans="1:22">
      <c r="A2" s="17" t="s">
        <v>152</v>
      </c>
      <c r="G2" t="s">
        <v>235</v>
      </c>
      <c r="H2" t="s">
        <v>249</v>
      </c>
      <c r="L2" t="s">
        <v>239</v>
      </c>
      <c r="R2" t="s">
        <v>236</v>
      </c>
    </row>
    <row r="3" spans="1:22">
      <c r="A3" t="s">
        <v>148</v>
      </c>
      <c r="B3" t="s">
        <v>134</v>
      </c>
      <c r="C3" t="s">
        <v>145</v>
      </c>
      <c r="D3" t="s">
        <v>144</v>
      </c>
      <c r="E3" t="s">
        <v>146</v>
      </c>
      <c r="F3" t="s">
        <v>147</v>
      </c>
      <c r="G3" t="s">
        <v>72</v>
      </c>
      <c r="H3" t="s">
        <v>72</v>
      </c>
      <c r="I3" t="s">
        <v>264</v>
      </c>
      <c r="J3" t="s">
        <v>265</v>
      </c>
      <c r="L3">
        <v>1</v>
      </c>
      <c r="M3">
        <v>2</v>
      </c>
      <c r="N3">
        <v>3</v>
      </c>
      <c r="O3">
        <v>4</v>
      </c>
      <c r="P3">
        <v>5</v>
      </c>
      <c r="R3">
        <v>1</v>
      </c>
      <c r="S3">
        <v>2</v>
      </c>
      <c r="T3">
        <v>3</v>
      </c>
      <c r="U3">
        <v>4</v>
      </c>
      <c r="V3">
        <v>5</v>
      </c>
    </row>
    <row r="4" spans="1:22">
      <c r="A4">
        <v>1</v>
      </c>
      <c r="B4" s="4" t="e">
        <f>Input!#REF!</f>
        <v>#REF!</v>
      </c>
      <c r="C4" s="20" t="e">
        <f>Input!#REF!</f>
        <v>#REF!</v>
      </c>
      <c r="D4" s="13" t="e">
        <f>Input!#REF!</f>
        <v>#REF!</v>
      </c>
      <c r="E4" s="4" t="e">
        <f>Input!#REF!</f>
        <v>#REF!</v>
      </c>
      <c r="F4" s="4" t="e">
        <f>Input!#REF!</f>
        <v>#REF!</v>
      </c>
      <c r="G4" s="13" t="e">
        <f>IF(B4=0,0,IFERROR(IF(OR(E4=$L$7,E4=$L$8,E4=$L$9,E4=$L$10,E4=$L$11,E4=$L$12),0,VLOOKUP(E4,Console!$T$3:$U$18,2,FALSE)*VLOOKUP(F4,Console!$X$3:$Y$9,2,FALSE)),0)*D4)</f>
        <v>#REF!</v>
      </c>
      <c r="H4" s="10" t="e">
        <f>IFERROR(IF(OR(E4=$L$7,E4=$L$8,E4=$L$9,E4=$L$10,E4=$L$11,E4=$L$12),VLOOKUP(E4,Console!$T$3:$U$18,2,FALSE)*VLOOKUP(F4,Console!$X$3:$Y$9,2,FALSE),0),0)*D4</f>
        <v>#REF!</v>
      </c>
      <c r="I4" s="10" t="e">
        <f>(G4/20000)*G4</f>
        <v>#REF!</v>
      </c>
      <c r="J4" s="85">
        <f>IFERROR(I4/SUM($I$4:$I$23),0)</f>
        <v>0</v>
      </c>
      <c r="L4" s="141">
        <f>SUMIF($C$4:$C$23,R3,$G$4:$H$23)-IF(Console!$BQ$9=1,0,SUMIF(Calculations!$B$64:$B$68,Calculations!L3,Calculations!$G$64:$G$68))</f>
        <v>0</v>
      </c>
      <c r="M4" s="141">
        <f>SUMIF($C$4:$C$23,S3,$G$4:$H$23)-IF(Console!$BQ$9=1,0,SUMIF(Calculations!$B$64:$B$68,Calculations!M3,Calculations!$G$64:$G$68))</f>
        <v>0</v>
      </c>
      <c r="N4" s="141">
        <f>SUMIF($C$4:$C$23,T3,$G$4:$H$23)-IF(Console!$BQ$9=1,0,SUMIF(Calculations!$B$64:$B$68,Calculations!N3,Calculations!$G$64:$G$68))</f>
        <v>0</v>
      </c>
      <c r="O4" s="141">
        <f>SUMIF($C$4:$C$23,U3,$G$4:$H$23)-IF(Console!$BQ$9=1,0,SUMIF(Calculations!$B$64:$B$68,Calculations!O3,Calculations!$G$64:$G$68))</f>
        <v>0</v>
      </c>
      <c r="P4" s="141">
        <f>SUMIF($C$4:$C$23,V3,$G$4:$H$23)-IF(Console!$BQ$9=1,0,SUMIF(Calculations!$B$64:$B$68,Calculations!P3,Calculations!$G$64:$G$68))</f>
        <v>0</v>
      </c>
      <c r="R4" s="14">
        <f>SUMIF($C$4:$C$23,R3,$H$4:$H$23)</f>
        <v>0</v>
      </c>
      <c r="S4" s="14">
        <f>SUMIF($C$4:$C$23,S3,$H$4:$H$23)</f>
        <v>0</v>
      </c>
      <c r="T4" s="14">
        <f>SUMIF($C$4:$C$23,T3,$H$4:$H$23)</f>
        <v>0</v>
      </c>
      <c r="U4" s="14">
        <f>SUMIF($C$4:$C$23,U3,$H$4:$H$23)</f>
        <v>0</v>
      </c>
      <c r="V4" s="14">
        <f>SUMIF($C$4:$C$23,V3,$H$4:$H$23)</f>
        <v>0</v>
      </c>
    </row>
    <row r="5" spans="1:22">
      <c r="A5">
        <v>2</v>
      </c>
      <c r="B5" s="4" t="e">
        <f>Input!#REF!</f>
        <v>#REF!</v>
      </c>
      <c r="C5" s="20" t="e">
        <f>Input!#REF!</f>
        <v>#REF!</v>
      </c>
      <c r="D5" s="13" t="e">
        <f>Input!#REF!</f>
        <v>#REF!</v>
      </c>
      <c r="E5" s="4" t="e">
        <f>Input!#REF!</f>
        <v>#REF!</v>
      </c>
      <c r="F5" s="4" t="e">
        <f>Input!#REF!</f>
        <v>#REF!</v>
      </c>
      <c r="G5" s="13" t="e">
        <f>IF(B5=0,0,IFERROR(IF(OR(E5=$L$7,E5=$L$8,E5=$L$9,E5=$L$10,E5=$L$11,E5=$L$12),0,VLOOKUP(E5,Console!$T$3:$U$18,2,FALSE)*VLOOKUP(F5,Console!$X$3:$Y$9,2,FALSE)),0)*D5)</f>
        <v>#REF!</v>
      </c>
      <c r="H5" s="10" t="e">
        <f>IFERROR(IF(OR(E5=$L$7,E5=$L$8,E5=$L$9,E5=$L$10,E5=$L$11,E5=$L$12),VLOOKUP(E5,Console!$T$3:$U$18,2,FALSE)*VLOOKUP(F5,Console!$X$3:$Y$9,2,FALSE),0),0)*D5</f>
        <v>#REF!</v>
      </c>
      <c r="I5" s="10" t="e">
        <f t="shared" ref="I5:I23" si="0">(G5/20000)*G5</f>
        <v>#REF!</v>
      </c>
      <c r="J5" s="85">
        <f t="shared" ref="J5:J23" si="1">IFERROR(I5/SUM($I$4:$I$23),0)</f>
        <v>0</v>
      </c>
      <c r="K5" s="15" t="s">
        <v>62</v>
      </c>
      <c r="L5">
        <f>HLOOKUP(L4+R4,HEM!$F$1:$S$2,2,TRUE)</f>
        <v>3</v>
      </c>
      <c r="M5">
        <f>HLOOKUP(M4+S4,HEM!$F$1:$S$2,2,TRUE)</f>
        <v>3</v>
      </c>
      <c r="N5">
        <f>HLOOKUP(N4+T4,HEM!$F$1:$S$2,2,TRUE)</f>
        <v>3</v>
      </c>
      <c r="O5">
        <f>HLOOKUP(O4+U4,HEM!$F$1:$S$2,2,TRUE)</f>
        <v>3</v>
      </c>
      <c r="P5">
        <f>HLOOKUP(P4+V4,HEM!$F$1:$S$2,2,TRUE)</f>
        <v>3</v>
      </c>
    </row>
    <row r="6" spans="1:22">
      <c r="A6">
        <v>3</v>
      </c>
      <c r="B6" s="4" t="e">
        <f>Input!#REF!</f>
        <v>#REF!</v>
      </c>
      <c r="C6" s="20" t="e">
        <f>Input!#REF!</f>
        <v>#REF!</v>
      </c>
      <c r="D6" s="13" t="e">
        <f>Input!#REF!</f>
        <v>#REF!</v>
      </c>
      <c r="E6" s="4" t="e">
        <f>Input!#REF!</f>
        <v>#REF!</v>
      </c>
      <c r="F6" s="4" t="e">
        <f>Input!#REF!</f>
        <v>#REF!</v>
      </c>
      <c r="G6" s="13" t="e">
        <f>IF(B6=0,0,IFERROR(IF(OR(E6=$L$7,E6=$L$8,E6=$L$9,E6=$L$10,E6=$L$11,E6=$L$12),0,VLOOKUP(E6,Console!$T$3:$U$18,2,FALSE)*VLOOKUP(F6,Console!$X$3:$Y$9,2,FALSE)),0)*D6)</f>
        <v>#REF!</v>
      </c>
      <c r="H6" s="10" t="e">
        <f>IFERROR(IF(OR(E6=$L$7,E6=$L$8,E6=$L$9,E6=$L$10,E6=$L$11,E6=$L$12),VLOOKUP(E6,Console!$T$3:$U$18,2,FALSE)*VLOOKUP(F6,Console!$X$3:$Y$9,2,FALSE),0),0)*D6</f>
        <v>#REF!</v>
      </c>
      <c r="I6" s="10" t="e">
        <f t="shared" si="0"/>
        <v>#REF!</v>
      </c>
      <c r="J6" s="85">
        <f t="shared" si="1"/>
        <v>0</v>
      </c>
      <c r="L6" t="s">
        <v>250</v>
      </c>
    </row>
    <row r="7" spans="1:22">
      <c r="A7">
        <v>4</v>
      </c>
      <c r="B7" s="4" t="e">
        <f>Input!#REF!</f>
        <v>#REF!</v>
      </c>
      <c r="C7" s="20" t="e">
        <f>Input!#REF!</f>
        <v>#REF!</v>
      </c>
      <c r="D7" s="13" t="e">
        <f>Input!#REF!</f>
        <v>#REF!</v>
      </c>
      <c r="E7" s="4" t="e">
        <f>Input!#REF!</f>
        <v>#REF!</v>
      </c>
      <c r="F7" s="4" t="e">
        <f>Input!#REF!</f>
        <v>#REF!</v>
      </c>
      <c r="G7" s="13" t="e">
        <f>IF(B7=0,0,IFERROR(IF(OR(E7=$L$7,E7=$L$8,E7=$L$9,E7=$L$10,E7=$L$11,E7=$L$12),0,VLOOKUP(E7,Console!$T$3:$U$18,2,FALSE)*VLOOKUP(F7,Console!$X$3:$Y$9,2,FALSE)),0)*D7)</f>
        <v>#REF!</v>
      </c>
      <c r="H7" s="10" t="e">
        <f>IFERROR(IF(OR(E7=$L$7,E7=$L$8,E7=$L$9,E7=$L$10,E7=$L$11,E7=$L$12),VLOOKUP(E7,Console!$T$3:$U$18,2,FALSE)*VLOOKUP(F7,Console!$X$3:$Y$9,2,FALSE),0),0)*D7</f>
        <v>#REF!</v>
      </c>
      <c r="I7" s="10" t="e">
        <f t="shared" si="0"/>
        <v>#REF!</v>
      </c>
      <c r="J7" s="85">
        <f t="shared" si="1"/>
        <v>0</v>
      </c>
      <c r="L7" t="s">
        <v>155</v>
      </c>
      <c r="R7" t="s">
        <v>188</v>
      </c>
    </row>
    <row r="8" spans="1:22">
      <c r="A8">
        <v>5</v>
      </c>
      <c r="B8" s="4" t="e">
        <f>Input!#REF!</f>
        <v>#REF!</v>
      </c>
      <c r="C8" s="20" t="e">
        <f>Input!#REF!</f>
        <v>#REF!</v>
      </c>
      <c r="D8" s="13" t="e">
        <f>Input!#REF!</f>
        <v>#REF!</v>
      </c>
      <c r="E8" s="4" t="e">
        <f>Input!#REF!</f>
        <v>#REF!</v>
      </c>
      <c r="F8" s="4" t="e">
        <f>Input!#REF!</f>
        <v>#REF!</v>
      </c>
      <c r="G8" s="13" t="e">
        <f>IF(B8=0,0,IFERROR(IF(OR(E8=$L$7,E8=$L$8,E8=$L$9,E8=$L$10,E8=$L$11,E8=$L$12),0,VLOOKUP(E8,Console!$T$3:$U$18,2,FALSE)*VLOOKUP(F8,Console!$X$3:$Y$9,2,FALSE)),0)*D8)</f>
        <v>#REF!</v>
      </c>
      <c r="H8" s="10" t="e">
        <f>IFERROR(IF(OR(E8=$L$7,E8=$L$8,E8=$L$9,E8=$L$10,E8=$L$11,E8=$L$12),VLOOKUP(E8,Console!$T$3:$U$18,2,FALSE)*VLOOKUP(F8,Console!$X$3:$Y$9,2,FALSE),0),0)*D8</f>
        <v>#REF!</v>
      </c>
      <c r="I8" s="10" t="e">
        <f t="shared" si="0"/>
        <v>#REF!</v>
      </c>
      <c r="J8" s="85">
        <f t="shared" si="1"/>
        <v>0</v>
      </c>
      <c r="L8" t="s">
        <v>247</v>
      </c>
      <c r="Q8" t="s">
        <v>189</v>
      </c>
      <c r="R8" t="s">
        <v>190</v>
      </c>
      <c r="S8" t="s">
        <v>191</v>
      </c>
      <c r="T8" t="s">
        <v>192</v>
      </c>
      <c r="U8" t="s">
        <v>193</v>
      </c>
    </row>
    <row r="9" spans="1:22">
      <c r="A9">
        <v>6</v>
      </c>
      <c r="B9" s="4" t="e">
        <f>Input!#REF!</f>
        <v>#REF!</v>
      </c>
      <c r="C9" s="20" t="e">
        <f>Input!#REF!</f>
        <v>#REF!</v>
      </c>
      <c r="D9" s="13" t="e">
        <f>Input!#REF!</f>
        <v>#REF!</v>
      </c>
      <c r="E9" s="4" t="e">
        <f>Input!#REF!</f>
        <v>#REF!</v>
      </c>
      <c r="F9" s="4" t="e">
        <f>Input!#REF!</f>
        <v>#REF!</v>
      </c>
      <c r="G9" s="13" t="e">
        <f>IF(B9=0,0,IFERROR(IF(OR(E9=$L$7,E9=$L$8,E9=$L$9,E9=$L$10,E9=$L$11,E9=$L$12),0,VLOOKUP(E9,Console!$T$3:$U$18,2,FALSE)*VLOOKUP(F9,Console!$X$3:$Y$9,2,FALSE)),0)*D9)</f>
        <v>#REF!</v>
      </c>
      <c r="H9" s="10" t="e">
        <f>IFERROR(IF(OR(E9=$L$7,E9=$L$8,E9=$L$9,E9=$L$10,E9=$L$11,E9=$L$12),VLOOKUP(E9,Console!$T$3:$U$18,2,FALSE)*VLOOKUP(F9,Console!$X$3:$Y$9,2,FALSE),0),0)*D9</f>
        <v>#REF!</v>
      </c>
      <c r="I9" s="10" t="e">
        <f t="shared" si="0"/>
        <v>#REF!</v>
      </c>
      <c r="J9" s="85">
        <f t="shared" si="1"/>
        <v>0</v>
      </c>
      <c r="L9" t="s">
        <v>248</v>
      </c>
      <c r="Q9">
        <v>1</v>
      </c>
      <c r="R9" s="25">
        <f>SUMIF(Input!H15:H19,"Inv",Input!D15:D19)</f>
        <v>0</v>
      </c>
      <c r="S9" s="25">
        <f>R9*Input!P12/12</f>
        <v>0</v>
      </c>
      <c r="T9" s="25">
        <f>IF(R9=0,0,-PMT(Input!$P$12/12,Input!$F$20*12,$R$9,0,0))</f>
        <v>0</v>
      </c>
      <c r="U9" s="25">
        <f>R9+S9-T9</f>
        <v>0</v>
      </c>
    </row>
    <row r="10" spans="1:22">
      <c r="A10">
        <v>7</v>
      </c>
      <c r="B10" s="4" t="e">
        <f>Input!#REF!</f>
        <v>#REF!</v>
      </c>
      <c r="C10" s="20" t="e">
        <f>Input!#REF!</f>
        <v>#REF!</v>
      </c>
      <c r="D10" s="13" t="e">
        <f>Input!#REF!</f>
        <v>#REF!</v>
      </c>
      <c r="E10" s="4" t="e">
        <f>Input!#REF!</f>
        <v>#REF!</v>
      </c>
      <c r="F10" s="4" t="e">
        <f>Input!#REF!</f>
        <v>#REF!</v>
      </c>
      <c r="G10" s="13" t="e">
        <f>IF(B10=0,0,IFERROR(IF(OR(E10=$L$7,E10=$L$8,E10=$L$9,E10=$L$10,E10=$L$11,E10=$L$12),0,VLOOKUP(E10,Console!$T$3:$U$18,2,FALSE)*VLOOKUP(F10,Console!$X$3:$Y$9,2,FALSE)),0)*D10)</f>
        <v>#REF!</v>
      </c>
      <c r="H10" s="10" t="e">
        <f>IFERROR(IF(OR(E10=$L$7,E10=$L$8,E10=$L$9,E10=$L$10,E10=$L$11,E10=$L$12),VLOOKUP(E10,Console!$T$3:$U$18,2,FALSE)*VLOOKUP(F10,Console!$X$3:$Y$9,2,FALSE),0),0)*D10</f>
        <v>#REF!</v>
      </c>
      <c r="I10" s="10" t="e">
        <f t="shared" si="0"/>
        <v>#REF!</v>
      </c>
      <c r="J10" s="85">
        <f t="shared" si="1"/>
        <v>0</v>
      </c>
      <c r="L10" t="str">
        <f>IF(Console!BQ3=2,Console!$T$13,"NA")</f>
        <v>NA</v>
      </c>
      <c r="Q10">
        <v>2</v>
      </c>
      <c r="R10" s="25">
        <f>U9</f>
        <v>0</v>
      </c>
      <c r="S10" s="25">
        <f>R10*Input!$P$12/12</f>
        <v>0</v>
      </c>
      <c r="T10" s="25">
        <f>IF(R10=0,0,-PMT(Input!$P$12/12,Input!$F$20*12,$R$9,0,0))</f>
        <v>0</v>
      </c>
      <c r="U10" s="25">
        <f>R10+S10-T10</f>
        <v>0</v>
      </c>
    </row>
    <row r="11" spans="1:22">
      <c r="A11">
        <v>8</v>
      </c>
      <c r="B11" s="4" t="e">
        <f>Input!#REF!</f>
        <v>#REF!</v>
      </c>
      <c r="C11" s="20" t="e">
        <f>Input!#REF!</f>
        <v>#REF!</v>
      </c>
      <c r="D11" s="13" t="e">
        <f>Input!#REF!</f>
        <v>#REF!</v>
      </c>
      <c r="E11" s="4" t="e">
        <f>Input!#REF!</f>
        <v>#REF!</v>
      </c>
      <c r="F11" s="4" t="e">
        <f>Input!#REF!</f>
        <v>#REF!</v>
      </c>
      <c r="G11" s="13" t="e">
        <f>IF(B11=0,0,IFERROR(IF(OR(E11=$L$7,E11=$L$8,E11=$L$9,E11=$L$10,E11=$L$11,E11=$L$12),0,VLOOKUP(E11,Console!$T$3:$U$18,2,FALSE)*VLOOKUP(F11,Console!$X$3:$Y$9,2,FALSE)),0)*D11)</f>
        <v>#REF!</v>
      </c>
      <c r="H11" s="10" t="e">
        <f>IFERROR(IF(OR(E11=$L$7,E11=$L$8,E11=$L$9,E11=$L$10,E11=$L$11,E11=$L$12),VLOOKUP(E11,Console!$T$3:$U$18,2,FALSE)*VLOOKUP(F11,Console!$X$3:$Y$9,2,FALSE),0),0)*D11</f>
        <v>#REF!</v>
      </c>
      <c r="I11" s="10" t="e">
        <f t="shared" si="0"/>
        <v>#REF!</v>
      </c>
      <c r="J11" s="85">
        <f t="shared" si="1"/>
        <v>0</v>
      </c>
      <c r="L11" t="str">
        <f>IF(Console!BQ3=2,Console!$T$14,"NA")</f>
        <v>NA</v>
      </c>
      <c r="Q11">
        <v>3</v>
      </c>
      <c r="R11" s="25">
        <f t="shared" ref="R11:R20" si="2">U10</f>
        <v>0</v>
      </c>
      <c r="S11" s="25">
        <f>R11*Input!$P$12/12</f>
        <v>0</v>
      </c>
      <c r="T11" s="25">
        <f>IF(R11=0,0,-PMT(Input!$P$12/12,Input!$F$20*12,$R$9,0,0))</f>
        <v>0</v>
      </c>
      <c r="U11" s="25">
        <f t="shared" ref="U11:U20" si="3">R11+S11-T11</f>
        <v>0</v>
      </c>
    </row>
    <row r="12" spans="1:22">
      <c r="A12">
        <v>9</v>
      </c>
      <c r="B12" s="4" t="e">
        <f>Input!#REF!</f>
        <v>#REF!</v>
      </c>
      <c r="C12" s="20" t="e">
        <f>Input!#REF!</f>
        <v>#REF!</v>
      </c>
      <c r="D12" s="13" t="e">
        <f>Input!#REF!</f>
        <v>#REF!</v>
      </c>
      <c r="E12" s="4" t="e">
        <f>Input!#REF!</f>
        <v>#REF!</v>
      </c>
      <c r="F12" s="4" t="e">
        <f>Input!#REF!</f>
        <v>#REF!</v>
      </c>
      <c r="G12" s="13" t="e">
        <f>IF(B12=0,0,IFERROR(IF(OR(E12=$L$7,E12=$L$8,E12=$L$9,E12=$L$10,E12=$L$11,E12=$L$12),0,VLOOKUP(E12,Console!$T$3:$U$18,2,FALSE)*VLOOKUP(F12,Console!$X$3:$Y$9,2,FALSE)),0)*D12)</f>
        <v>#REF!</v>
      </c>
      <c r="H12" s="10" t="e">
        <f>IFERROR(IF(OR(E12=$L$7,E12=$L$8,E12=$L$9,E12=$L$10,E12=$L$11,E12=$L$12),VLOOKUP(E12,Console!$T$3:$U$18,2,FALSE)*VLOOKUP(F12,Console!$X$3:$Y$9,2,FALSE),0),0)*D12</f>
        <v>#REF!</v>
      </c>
      <c r="I12" s="10" t="e">
        <f t="shared" si="0"/>
        <v>#REF!</v>
      </c>
      <c r="J12" s="85">
        <f t="shared" si="1"/>
        <v>0</v>
      </c>
      <c r="L12" t="str">
        <f>IF(Console!BQ3=2,Console!$T$18,"NA")</f>
        <v>NA</v>
      </c>
      <c r="Q12">
        <v>4</v>
      </c>
      <c r="R12" s="25">
        <f t="shared" si="2"/>
        <v>0</v>
      </c>
      <c r="S12" s="25">
        <f>R12*Input!$P$12/12</f>
        <v>0</v>
      </c>
      <c r="T12" s="25">
        <f>IF(R12=0,0,-PMT(Input!$P$12/12,Input!$F$20*12,$R$9,0,0))</f>
        <v>0</v>
      </c>
      <c r="U12" s="25">
        <f t="shared" si="3"/>
        <v>0</v>
      </c>
    </row>
    <row r="13" spans="1:22">
      <c r="A13">
        <v>10</v>
      </c>
      <c r="B13" s="4" t="e">
        <f>Input!#REF!</f>
        <v>#REF!</v>
      </c>
      <c r="C13" s="20" t="e">
        <f>Input!#REF!</f>
        <v>#REF!</v>
      </c>
      <c r="D13" s="13" t="e">
        <f>Input!#REF!</f>
        <v>#REF!</v>
      </c>
      <c r="E13" s="4" t="e">
        <f>Input!#REF!</f>
        <v>#REF!</v>
      </c>
      <c r="F13" s="4" t="e">
        <f>Input!#REF!</f>
        <v>#REF!</v>
      </c>
      <c r="G13" s="13" t="e">
        <f>IF(B13=0,0,IFERROR(IF(OR(E13=$L$7,E13=$L$8,E13=$L$9,E13=$L$10,E13=$L$11,E13=$L$12),0,VLOOKUP(E13,Console!$T$3:$U$18,2,FALSE)*VLOOKUP(F13,Console!$X$3:$Y$9,2,FALSE)),0)*D13)</f>
        <v>#REF!</v>
      </c>
      <c r="H13" s="10" t="e">
        <f>IFERROR(IF(OR(E13=$L$7,E13=$L$8,E13=$L$9,E13=$L$10,E13=$L$11,E13=$L$12),VLOOKUP(E13,Console!$T$3:$U$18,2,FALSE)*VLOOKUP(F13,Console!$X$3:$Y$9,2,FALSE),0),0)*D13</f>
        <v>#REF!</v>
      </c>
      <c r="I13" s="10" t="e">
        <f t="shared" si="0"/>
        <v>#REF!</v>
      </c>
      <c r="J13" s="85">
        <f t="shared" si="1"/>
        <v>0</v>
      </c>
      <c r="Q13">
        <v>5</v>
      </c>
      <c r="R13" s="25">
        <f t="shared" si="2"/>
        <v>0</v>
      </c>
      <c r="S13" s="25">
        <f>R13*Input!$P$12/12</f>
        <v>0</v>
      </c>
      <c r="T13" s="25">
        <f>IF(R13=0,0,-PMT(Input!$P$12/12,Input!$F$20*12,$R$9,0,0))</f>
        <v>0</v>
      </c>
      <c r="U13" s="25">
        <f t="shared" si="3"/>
        <v>0</v>
      </c>
    </row>
    <row r="14" spans="1:22">
      <c r="A14">
        <v>11</v>
      </c>
      <c r="B14" s="4" t="e">
        <f>Input!#REF!</f>
        <v>#REF!</v>
      </c>
      <c r="C14" s="20" t="e">
        <f>Input!#REF!</f>
        <v>#REF!</v>
      </c>
      <c r="D14" s="13" t="e">
        <f>Input!#REF!</f>
        <v>#REF!</v>
      </c>
      <c r="E14" s="4" t="e">
        <f>Input!#REF!</f>
        <v>#REF!</v>
      </c>
      <c r="F14" s="4" t="e">
        <f>Input!#REF!</f>
        <v>#REF!</v>
      </c>
      <c r="G14" s="13" t="e">
        <f>IF(B14=0,0,IFERROR(IF(OR(E14=$L$7,E14=$L$8,E14=$L$9,E14=$L$10,E14=$L$11,E14=$L$12),0,VLOOKUP(E14,Console!$T$3:$U$18,2,FALSE)*VLOOKUP(F14,Console!$X$3:$Y$9,2,FALSE)),0)*D14)</f>
        <v>#REF!</v>
      </c>
      <c r="H14" s="10" t="e">
        <f>IFERROR(IF(OR(E14=$L$7,E14=$L$8,E14=$L$9,E14=$L$10,E14=$L$11,E14=$L$12),VLOOKUP(E14,Console!$T$3:$U$18,2,FALSE)*VLOOKUP(F14,Console!$X$3:$Y$9,2,FALSE),0),0)*D14</f>
        <v>#REF!</v>
      </c>
      <c r="I14" s="10" t="e">
        <f t="shared" si="0"/>
        <v>#REF!</v>
      </c>
      <c r="J14" s="85">
        <f t="shared" si="1"/>
        <v>0</v>
      </c>
      <c r="Q14">
        <v>6</v>
      </c>
      <c r="R14" s="25">
        <f t="shared" si="2"/>
        <v>0</v>
      </c>
      <c r="S14" s="25">
        <f>R14*Input!$P$12/12</f>
        <v>0</v>
      </c>
      <c r="T14" s="25">
        <f>IF(R14=0,0,-PMT(Input!$P$12/12,Input!$F$20*12,$R$9,0,0))</f>
        <v>0</v>
      </c>
      <c r="U14" s="25">
        <f t="shared" si="3"/>
        <v>0</v>
      </c>
    </row>
    <row r="15" spans="1:22">
      <c r="A15">
        <v>12</v>
      </c>
      <c r="B15" s="4" t="e">
        <f>Input!#REF!</f>
        <v>#REF!</v>
      </c>
      <c r="C15" s="20" t="e">
        <f>Input!#REF!</f>
        <v>#REF!</v>
      </c>
      <c r="D15" s="13" t="e">
        <f>Input!#REF!</f>
        <v>#REF!</v>
      </c>
      <c r="E15" s="4" t="e">
        <f>Input!#REF!</f>
        <v>#REF!</v>
      </c>
      <c r="F15" s="4" t="e">
        <f>Input!#REF!</f>
        <v>#REF!</v>
      </c>
      <c r="G15" s="13" t="e">
        <f>IF(B15=0,0,IFERROR(IF(OR(E15=$L$7,E15=$L$8,E15=$L$9,E15=$L$10,E15=$L$11,E15=$L$12),0,VLOOKUP(E15,Console!$T$3:$U$18,2,FALSE)*VLOOKUP(F15,Console!$X$3:$Y$9,2,FALSE)),0)*D15)</f>
        <v>#REF!</v>
      </c>
      <c r="H15" s="10" t="e">
        <f>IFERROR(IF(OR(E15=$L$7,E15=$L$8,E15=$L$9,E15=$L$10,E15=$L$11,E15=$L$12),VLOOKUP(E15,Console!$T$3:$U$18,2,FALSE)*VLOOKUP(F15,Console!$X$3:$Y$9,2,FALSE),0),0)*D15</f>
        <v>#REF!</v>
      </c>
      <c r="I15" s="10" t="e">
        <f t="shared" si="0"/>
        <v>#REF!</v>
      </c>
      <c r="J15" s="85">
        <f t="shared" si="1"/>
        <v>0</v>
      </c>
      <c r="Q15">
        <v>7</v>
      </c>
      <c r="R15" s="25">
        <f t="shared" si="2"/>
        <v>0</v>
      </c>
      <c r="S15" s="25">
        <f>R15*Input!$P$12/12</f>
        <v>0</v>
      </c>
      <c r="T15" s="25">
        <f>IF(R15=0,0,-PMT(Input!$P$12/12,Input!$F$20*12,$R$9,0,0))</f>
        <v>0</v>
      </c>
      <c r="U15" s="25">
        <f t="shared" si="3"/>
        <v>0</v>
      </c>
    </row>
    <row r="16" spans="1:22">
      <c r="A16">
        <v>13</v>
      </c>
      <c r="B16" s="4" t="e">
        <f>Input!#REF!</f>
        <v>#REF!</v>
      </c>
      <c r="C16" s="20" t="e">
        <f>Input!#REF!</f>
        <v>#REF!</v>
      </c>
      <c r="D16" s="13" t="e">
        <f>Input!#REF!</f>
        <v>#REF!</v>
      </c>
      <c r="E16" s="4" t="e">
        <f>Input!#REF!</f>
        <v>#REF!</v>
      </c>
      <c r="F16" s="4" t="e">
        <f>Input!#REF!</f>
        <v>#REF!</v>
      </c>
      <c r="G16" s="13" t="e">
        <f>IF(B16=0,0,IFERROR(IF(OR(E16=$L$7,E16=$L$8,E16=$L$9,E16=$L$10,E16=$L$11,E16=$L$12),0,VLOOKUP(E16,Console!$T$3:$U$18,2,FALSE)*VLOOKUP(F16,Console!$X$3:$Y$9,2,FALSE)),0)*D16)</f>
        <v>#REF!</v>
      </c>
      <c r="H16" s="10" t="e">
        <f>IFERROR(IF(OR(E16=$L$7,E16=$L$8,E16=$L$9,E16=$L$10,E16=$L$11,E16=$L$12),VLOOKUP(E16,Console!$T$3:$U$18,2,FALSE)*VLOOKUP(F16,Console!$X$3:$Y$9,2,FALSE),0),0)*D16</f>
        <v>#REF!</v>
      </c>
      <c r="I16" s="10" t="e">
        <f t="shared" si="0"/>
        <v>#REF!</v>
      </c>
      <c r="J16" s="85">
        <f t="shared" si="1"/>
        <v>0</v>
      </c>
      <c r="Q16">
        <v>8</v>
      </c>
      <c r="R16" s="25">
        <f t="shared" si="2"/>
        <v>0</v>
      </c>
      <c r="S16" s="25">
        <f>R16*Input!$P$12/12</f>
        <v>0</v>
      </c>
      <c r="T16" s="25">
        <f>IF(R16=0,0,-PMT(Input!$P$12/12,Input!$F$20*12,$R$9,0,0))</f>
        <v>0</v>
      </c>
      <c r="U16" s="25">
        <f t="shared" si="3"/>
        <v>0</v>
      </c>
    </row>
    <row r="17" spans="1:22">
      <c r="A17">
        <v>14</v>
      </c>
      <c r="B17" s="4" t="e">
        <f>Input!#REF!</f>
        <v>#REF!</v>
      </c>
      <c r="C17" s="20" t="e">
        <f>Input!#REF!</f>
        <v>#REF!</v>
      </c>
      <c r="D17" s="13" t="e">
        <f>Input!#REF!</f>
        <v>#REF!</v>
      </c>
      <c r="E17" s="4" t="e">
        <f>Input!#REF!</f>
        <v>#REF!</v>
      </c>
      <c r="F17" s="4" t="e">
        <f>Input!#REF!</f>
        <v>#REF!</v>
      </c>
      <c r="G17" s="13" t="e">
        <f>IF(B17=0,0,IFERROR(IF(OR(E17=$L$7,E17=$L$8,E17=$L$9,E17=$L$10,E17=$L$11,E17=$L$12),0,VLOOKUP(E17,Console!$T$3:$U$18,2,FALSE)*VLOOKUP(F17,Console!$X$3:$Y$9,2,FALSE)),0)*D17)</f>
        <v>#REF!</v>
      </c>
      <c r="H17" s="10" t="e">
        <f>IFERROR(IF(OR(E17=$L$7,E17=$L$8,E17=$L$9,E17=$L$10,E17=$L$11,E17=$L$12),VLOOKUP(E17,Console!$T$3:$U$18,2,FALSE)*VLOOKUP(F17,Console!$X$3:$Y$9,2,FALSE),0),0)*D17</f>
        <v>#REF!</v>
      </c>
      <c r="I17" s="10" t="e">
        <f t="shared" si="0"/>
        <v>#REF!</v>
      </c>
      <c r="J17" s="85">
        <f t="shared" si="1"/>
        <v>0</v>
      </c>
      <c r="Q17">
        <v>9</v>
      </c>
      <c r="R17" s="25">
        <f t="shared" si="2"/>
        <v>0</v>
      </c>
      <c r="S17" s="25">
        <f>R17*Input!$P$12/12</f>
        <v>0</v>
      </c>
      <c r="T17" s="25">
        <f>IF(R17=0,0,-PMT(Input!$P$12/12,Input!$F$20*12,$R$9,0,0))</f>
        <v>0</v>
      </c>
      <c r="U17" s="25">
        <f t="shared" si="3"/>
        <v>0</v>
      </c>
    </row>
    <row r="18" spans="1:22">
      <c r="A18">
        <v>15</v>
      </c>
      <c r="B18" s="4" t="e">
        <f>Input!#REF!</f>
        <v>#REF!</v>
      </c>
      <c r="C18" s="20" t="e">
        <f>Input!#REF!</f>
        <v>#REF!</v>
      </c>
      <c r="D18" s="13" t="e">
        <f>Input!#REF!</f>
        <v>#REF!</v>
      </c>
      <c r="E18" s="4" t="e">
        <f>Input!#REF!</f>
        <v>#REF!</v>
      </c>
      <c r="F18" s="4" t="e">
        <f>Input!#REF!</f>
        <v>#REF!</v>
      </c>
      <c r="G18" s="13" t="e">
        <f>IF(B18=0,0,IFERROR(IF(OR(E18=$L$7,E18=$L$8,E18=$L$9,E18=$L$10,E18=$L$11,E18=$L$12),0,VLOOKUP(E18,Console!$T$3:$U$18,2,FALSE)*VLOOKUP(F18,Console!$X$3:$Y$9,2,FALSE)),0)*D18)</f>
        <v>#REF!</v>
      </c>
      <c r="H18" s="10" t="e">
        <f>IFERROR(IF(OR(E18=$L$7,E18=$L$8,E18=$L$9,E18=$L$10,E18=$L$11,E18=$L$12),VLOOKUP(E18,Console!$T$3:$U$18,2,FALSE)*VLOOKUP(F18,Console!$X$3:$Y$9,2,FALSE),0),0)*D18</f>
        <v>#REF!</v>
      </c>
      <c r="I18" s="10" t="e">
        <f t="shared" si="0"/>
        <v>#REF!</v>
      </c>
      <c r="J18" s="85">
        <f t="shared" si="1"/>
        <v>0</v>
      </c>
      <c r="Q18">
        <v>10</v>
      </c>
      <c r="R18" s="25">
        <f t="shared" si="2"/>
        <v>0</v>
      </c>
      <c r="S18" s="25">
        <f>R18*Input!$P$12/12</f>
        <v>0</v>
      </c>
      <c r="T18" s="25">
        <f>IF(R18=0,0,-PMT(Input!$P$12/12,Input!$F$20*12,$R$9,0,0))</f>
        <v>0</v>
      </c>
      <c r="U18" s="25">
        <f t="shared" si="3"/>
        <v>0</v>
      </c>
    </row>
    <row r="19" spans="1:22">
      <c r="A19">
        <v>16</v>
      </c>
      <c r="B19" s="4" t="e">
        <f>Input!#REF!</f>
        <v>#REF!</v>
      </c>
      <c r="C19" s="20" t="e">
        <f>Input!#REF!</f>
        <v>#REF!</v>
      </c>
      <c r="D19" s="13" t="e">
        <f>Input!#REF!</f>
        <v>#REF!</v>
      </c>
      <c r="E19" s="4" t="e">
        <f>Input!#REF!</f>
        <v>#REF!</v>
      </c>
      <c r="F19" s="4" t="e">
        <f>Input!#REF!</f>
        <v>#REF!</v>
      </c>
      <c r="G19" s="13">
        <f>'Income Calculators'!J26</f>
        <v>0</v>
      </c>
      <c r="H19" s="10">
        <f>'Income Calculators'!J33</f>
        <v>0</v>
      </c>
      <c r="I19" s="10">
        <f t="shared" si="0"/>
        <v>0</v>
      </c>
      <c r="J19" s="85">
        <f t="shared" si="1"/>
        <v>0</v>
      </c>
      <c r="Q19">
        <v>11</v>
      </c>
      <c r="R19" s="25">
        <f t="shared" si="2"/>
        <v>0</v>
      </c>
      <c r="S19" s="25">
        <f>R19*Input!$P$12/12</f>
        <v>0</v>
      </c>
      <c r="T19" s="25">
        <f>IF(R19=0,0,-PMT(Input!$P$12/12,Input!$F$20*12,$R$9,0,0))</f>
        <v>0</v>
      </c>
      <c r="U19" s="25">
        <f t="shared" si="3"/>
        <v>0</v>
      </c>
    </row>
    <row r="20" spans="1:22">
      <c r="A20">
        <v>17</v>
      </c>
      <c r="B20" s="4" t="e">
        <f>Input!#REF!</f>
        <v>#REF!</v>
      </c>
      <c r="C20" s="20" t="e">
        <f>Input!#REF!</f>
        <v>#REF!</v>
      </c>
      <c r="D20" s="13" t="e">
        <f>Input!#REF!</f>
        <v>#REF!</v>
      </c>
      <c r="E20" s="4" t="e">
        <f>Input!#REF!</f>
        <v>#REF!</v>
      </c>
      <c r="F20" s="4" t="e">
        <f>Input!#REF!</f>
        <v>#REF!</v>
      </c>
      <c r="G20" s="13">
        <f>'Income Calculators'!L26</f>
        <v>0</v>
      </c>
      <c r="H20" s="10">
        <f>'Income Calculators'!L33</f>
        <v>0</v>
      </c>
      <c r="I20" s="10">
        <f t="shared" si="0"/>
        <v>0</v>
      </c>
      <c r="J20" s="85">
        <f t="shared" si="1"/>
        <v>0</v>
      </c>
      <c r="Q20">
        <v>12</v>
      </c>
      <c r="R20" s="25">
        <f t="shared" si="2"/>
        <v>0</v>
      </c>
      <c r="S20" s="25">
        <f>R20*Input!$P$12/12</f>
        <v>0</v>
      </c>
      <c r="T20" s="25">
        <f>IF(R20=0,0,-PMT(Input!$P$12/12,Input!$F$20*12,$R$9,0,0))</f>
        <v>0</v>
      </c>
      <c r="U20" s="25">
        <f t="shared" si="3"/>
        <v>0</v>
      </c>
    </row>
    <row r="21" spans="1:22">
      <c r="A21">
        <v>18</v>
      </c>
      <c r="B21" s="4" t="e">
        <f>Input!#REF!</f>
        <v>#REF!</v>
      </c>
      <c r="C21" s="20" t="e">
        <f>Input!#REF!</f>
        <v>#REF!</v>
      </c>
      <c r="D21" s="13" t="e">
        <f>Input!#REF!</f>
        <v>#REF!</v>
      </c>
      <c r="E21" s="4" t="e">
        <f>Input!#REF!</f>
        <v>#REF!</v>
      </c>
      <c r="F21" s="4" t="e">
        <f>Input!#REF!</f>
        <v>#REF!</v>
      </c>
      <c r="G21" s="13">
        <f>'Income Calculators'!N26</f>
        <v>0</v>
      </c>
      <c r="H21" s="10">
        <f>'Income Calculators'!N33</f>
        <v>0</v>
      </c>
      <c r="I21" s="10">
        <f t="shared" si="0"/>
        <v>0</v>
      </c>
      <c r="J21" s="85">
        <f t="shared" si="1"/>
        <v>0</v>
      </c>
      <c r="M21" s="20"/>
      <c r="Q21" t="s">
        <v>196</v>
      </c>
      <c r="S21" s="10">
        <f>IF(Console!BQ3=1,SUM(S9:S20),0)</f>
        <v>0</v>
      </c>
    </row>
    <row r="22" spans="1:22">
      <c r="A22">
        <v>19</v>
      </c>
      <c r="B22" s="4" t="e">
        <f>Input!#REF!</f>
        <v>#REF!</v>
      </c>
      <c r="C22" s="20" t="e">
        <f>Input!#REF!</f>
        <v>#REF!</v>
      </c>
      <c r="D22" s="13" t="e">
        <f>Input!#REF!</f>
        <v>#REF!</v>
      </c>
      <c r="E22" s="4" t="e">
        <f>Input!#REF!</f>
        <v>#REF!</v>
      </c>
      <c r="F22" s="4" t="e">
        <f>Input!#REF!</f>
        <v>#REF!</v>
      </c>
      <c r="G22" s="13">
        <f>'Income Calculators'!P26</f>
        <v>0</v>
      </c>
      <c r="H22" s="10">
        <f>'Income Calculators'!P33</f>
        <v>0</v>
      </c>
      <c r="I22" s="10">
        <f t="shared" si="0"/>
        <v>0</v>
      </c>
      <c r="J22" s="85">
        <f t="shared" si="1"/>
        <v>0</v>
      </c>
      <c r="M22" s="141"/>
      <c r="N22" s="141"/>
    </row>
    <row r="23" spans="1:22">
      <c r="A23">
        <v>20</v>
      </c>
      <c r="B23" s="4" t="e">
        <f>Input!#REF!</f>
        <v>#REF!</v>
      </c>
      <c r="C23" s="20" t="e">
        <f>Input!#REF!</f>
        <v>#REF!</v>
      </c>
      <c r="D23" s="13" t="e">
        <f>Input!#REF!</f>
        <v>#REF!</v>
      </c>
      <c r="E23" s="4" t="e">
        <f>Input!#REF!</f>
        <v>#REF!</v>
      </c>
      <c r="F23" s="4" t="e">
        <f>Input!#REF!</f>
        <v>#REF!</v>
      </c>
      <c r="G23" s="13">
        <f>'Income Calculators'!R26</f>
        <v>0</v>
      </c>
      <c r="H23" s="10">
        <f>'Income Calculators'!R33</f>
        <v>0</v>
      </c>
      <c r="I23" s="10">
        <f t="shared" si="0"/>
        <v>0</v>
      </c>
      <c r="J23" s="85">
        <f t="shared" si="1"/>
        <v>0</v>
      </c>
    </row>
    <row r="24" spans="1:22">
      <c r="G24" s="10" t="e">
        <f>SUM(G4:H23)</f>
        <v>#REF!</v>
      </c>
    </row>
    <row r="25" spans="1:22">
      <c r="C25">
        <v>1</v>
      </c>
      <c r="D25">
        <v>2</v>
      </c>
      <c r="E25">
        <v>3</v>
      </c>
      <c r="F25">
        <v>4</v>
      </c>
      <c r="G25">
        <v>5</v>
      </c>
      <c r="H25">
        <v>6</v>
      </c>
      <c r="I25">
        <v>7</v>
      </c>
      <c r="J25">
        <v>8</v>
      </c>
      <c r="K25">
        <v>9</v>
      </c>
      <c r="L25">
        <v>10</v>
      </c>
      <c r="M25">
        <v>11</v>
      </c>
      <c r="N25">
        <v>12</v>
      </c>
      <c r="O25">
        <v>13</v>
      </c>
      <c r="P25">
        <v>14</v>
      </c>
      <c r="Q25">
        <v>15</v>
      </c>
      <c r="R25">
        <v>16</v>
      </c>
      <c r="S25">
        <v>17</v>
      </c>
      <c r="T25">
        <v>18</v>
      </c>
      <c r="U25">
        <v>19</v>
      </c>
      <c r="V25">
        <v>20</v>
      </c>
    </row>
    <row r="26" spans="1:22">
      <c r="A26" t="s">
        <v>145</v>
      </c>
      <c r="C26" t="e">
        <f t="shared" ref="C26:V26" si="4">VLOOKUP(C27,$B$4:$C$23,2,FALSE)</f>
        <v>#REF!</v>
      </c>
      <c r="D26" t="e">
        <f t="shared" si="4"/>
        <v>#REF!</v>
      </c>
      <c r="E26" t="e">
        <f t="shared" si="4"/>
        <v>#REF!</v>
      </c>
      <c r="F26" t="e">
        <f t="shared" si="4"/>
        <v>#REF!</v>
      </c>
      <c r="G26" t="e">
        <f t="shared" si="4"/>
        <v>#REF!</v>
      </c>
      <c r="H26" t="e">
        <f t="shared" si="4"/>
        <v>#REF!</v>
      </c>
      <c r="I26" t="e">
        <f t="shared" si="4"/>
        <v>#REF!</v>
      </c>
      <c r="J26" t="e">
        <f t="shared" si="4"/>
        <v>#REF!</v>
      </c>
      <c r="K26" t="e">
        <f t="shared" si="4"/>
        <v>#REF!</v>
      </c>
      <c r="L26" t="e">
        <f t="shared" si="4"/>
        <v>#REF!</v>
      </c>
      <c r="M26" t="e">
        <f t="shared" si="4"/>
        <v>#REF!</v>
      </c>
      <c r="N26" t="e">
        <f t="shared" si="4"/>
        <v>#REF!</v>
      </c>
      <c r="O26" t="e">
        <f t="shared" si="4"/>
        <v>#REF!</v>
      </c>
      <c r="P26" t="e">
        <f t="shared" si="4"/>
        <v>#REF!</v>
      </c>
      <c r="Q26" t="e">
        <f t="shared" si="4"/>
        <v>#REF!</v>
      </c>
      <c r="R26" t="e">
        <f t="shared" si="4"/>
        <v>#REF!</v>
      </c>
      <c r="S26" t="e">
        <f t="shared" si="4"/>
        <v>#REF!</v>
      </c>
      <c r="T26" t="e">
        <f t="shared" si="4"/>
        <v>#REF!</v>
      </c>
      <c r="U26" t="e">
        <f t="shared" si="4"/>
        <v>#REF!</v>
      </c>
      <c r="V26" t="e">
        <f t="shared" si="4"/>
        <v>#REF!</v>
      </c>
    </row>
    <row r="27" spans="1:22">
      <c r="A27" s="17" t="s">
        <v>151</v>
      </c>
      <c r="C27" s="4" t="e">
        <f>B4</f>
        <v>#REF!</v>
      </c>
      <c r="D27" s="4" t="e">
        <f>B5</f>
        <v>#REF!</v>
      </c>
      <c r="E27" s="4" t="e">
        <f>B6</f>
        <v>#REF!</v>
      </c>
      <c r="F27" s="4" t="e">
        <f>B7</f>
        <v>#REF!</v>
      </c>
      <c r="G27" s="4" t="e">
        <f>B8</f>
        <v>#REF!</v>
      </c>
      <c r="H27" s="4" t="e">
        <f>B9</f>
        <v>#REF!</v>
      </c>
      <c r="I27" s="4" t="e">
        <f>B10</f>
        <v>#REF!</v>
      </c>
      <c r="J27" s="4" t="e">
        <f>B11</f>
        <v>#REF!</v>
      </c>
      <c r="K27" s="4" t="e">
        <f>B12</f>
        <v>#REF!</v>
      </c>
      <c r="L27" s="4" t="e">
        <f>B13</f>
        <v>#REF!</v>
      </c>
      <c r="M27" s="4" t="e">
        <f>B14</f>
        <v>#REF!</v>
      </c>
      <c r="N27" s="4" t="e">
        <f>B15</f>
        <v>#REF!</v>
      </c>
      <c r="O27" s="4" t="e">
        <f>B16</f>
        <v>#REF!</v>
      </c>
      <c r="P27" s="4" t="e">
        <f>B17</f>
        <v>#REF!</v>
      </c>
      <c r="Q27" s="4" t="e">
        <f>B18</f>
        <v>#REF!</v>
      </c>
      <c r="R27" s="4" t="e">
        <f>B19</f>
        <v>#REF!</v>
      </c>
      <c r="S27" s="4" t="e">
        <f>B20</f>
        <v>#REF!</v>
      </c>
      <c r="T27" s="4" t="e">
        <f>B21</f>
        <v>#REF!</v>
      </c>
      <c r="U27" s="4" t="e">
        <f>B22</f>
        <v>#REF!</v>
      </c>
      <c r="V27" s="4" t="e">
        <f>B23</f>
        <v>#REF!</v>
      </c>
    </row>
    <row r="28" spans="1:22">
      <c r="A28">
        <v>1</v>
      </c>
      <c r="B28" s="4" t="e">
        <f>B4</f>
        <v>#REF!</v>
      </c>
      <c r="C28" s="10" t="e">
        <f t="shared" ref="C28:C47" si="5">IF($B28=C$27,$G4,0)</f>
        <v>#REF!</v>
      </c>
      <c r="D28" s="10" t="e">
        <f t="shared" ref="D28:V28" si="6">IF($B28=D$27,$G4,0)</f>
        <v>#REF!</v>
      </c>
      <c r="E28" s="10" t="e">
        <f t="shared" si="6"/>
        <v>#REF!</v>
      </c>
      <c r="F28" s="10" t="e">
        <f t="shared" si="6"/>
        <v>#REF!</v>
      </c>
      <c r="G28" s="10" t="e">
        <f t="shared" si="6"/>
        <v>#REF!</v>
      </c>
      <c r="H28" s="10" t="e">
        <f t="shared" si="6"/>
        <v>#REF!</v>
      </c>
      <c r="I28" s="10" t="e">
        <f t="shared" si="6"/>
        <v>#REF!</v>
      </c>
      <c r="J28" s="10" t="e">
        <f t="shared" si="6"/>
        <v>#REF!</v>
      </c>
      <c r="K28" s="10" t="e">
        <f t="shared" si="6"/>
        <v>#REF!</v>
      </c>
      <c r="L28" s="10" t="e">
        <f t="shared" si="6"/>
        <v>#REF!</v>
      </c>
      <c r="M28" s="10" t="e">
        <f t="shared" si="6"/>
        <v>#REF!</v>
      </c>
      <c r="N28" s="10" t="e">
        <f t="shared" si="6"/>
        <v>#REF!</v>
      </c>
      <c r="O28" s="10" t="e">
        <f t="shared" si="6"/>
        <v>#REF!</v>
      </c>
      <c r="P28" s="10" t="e">
        <f t="shared" si="6"/>
        <v>#REF!</v>
      </c>
      <c r="Q28" s="10" t="e">
        <f t="shared" si="6"/>
        <v>#REF!</v>
      </c>
      <c r="R28" s="10" t="e">
        <f t="shared" si="6"/>
        <v>#REF!</v>
      </c>
      <c r="S28" s="10" t="e">
        <f t="shared" si="6"/>
        <v>#REF!</v>
      </c>
      <c r="T28" s="10" t="e">
        <f t="shared" si="6"/>
        <v>#REF!</v>
      </c>
      <c r="U28" s="10" t="e">
        <f t="shared" si="6"/>
        <v>#REF!</v>
      </c>
      <c r="V28" s="10" t="e">
        <f t="shared" si="6"/>
        <v>#REF!</v>
      </c>
    </row>
    <row r="29" spans="1:22">
      <c r="A29">
        <v>2</v>
      </c>
      <c r="B29" s="4" t="e">
        <f t="shared" ref="B29:B47" si="7">B5</f>
        <v>#REF!</v>
      </c>
      <c r="C29" s="10" t="e">
        <f t="shared" si="5"/>
        <v>#REF!</v>
      </c>
      <c r="D29" s="10" t="e">
        <f t="shared" ref="D29:V29" si="8">IF($B29=D$27,$G5,0)</f>
        <v>#REF!</v>
      </c>
      <c r="E29" s="10" t="e">
        <f t="shared" si="8"/>
        <v>#REF!</v>
      </c>
      <c r="F29" s="10" t="e">
        <f t="shared" si="8"/>
        <v>#REF!</v>
      </c>
      <c r="G29" s="10" t="e">
        <f t="shared" si="8"/>
        <v>#REF!</v>
      </c>
      <c r="H29" s="10" t="e">
        <f t="shared" si="8"/>
        <v>#REF!</v>
      </c>
      <c r="I29" s="10" t="e">
        <f t="shared" si="8"/>
        <v>#REF!</v>
      </c>
      <c r="J29" s="10" t="e">
        <f t="shared" si="8"/>
        <v>#REF!</v>
      </c>
      <c r="K29" s="10" t="e">
        <f t="shared" si="8"/>
        <v>#REF!</v>
      </c>
      <c r="L29" s="10" t="e">
        <f t="shared" si="8"/>
        <v>#REF!</v>
      </c>
      <c r="M29" s="10" t="e">
        <f t="shared" si="8"/>
        <v>#REF!</v>
      </c>
      <c r="N29" s="10" t="e">
        <f t="shared" si="8"/>
        <v>#REF!</v>
      </c>
      <c r="O29" s="10" t="e">
        <f t="shared" si="8"/>
        <v>#REF!</v>
      </c>
      <c r="P29" s="10" t="e">
        <f t="shared" si="8"/>
        <v>#REF!</v>
      </c>
      <c r="Q29" s="10" t="e">
        <f t="shared" si="8"/>
        <v>#REF!</v>
      </c>
      <c r="R29" s="10" t="e">
        <f t="shared" si="8"/>
        <v>#REF!</v>
      </c>
      <c r="S29" s="10" t="e">
        <f t="shared" si="8"/>
        <v>#REF!</v>
      </c>
      <c r="T29" s="10" t="e">
        <f t="shared" si="8"/>
        <v>#REF!</v>
      </c>
      <c r="U29" s="10" t="e">
        <f t="shared" si="8"/>
        <v>#REF!</v>
      </c>
      <c r="V29" s="10" t="e">
        <f t="shared" si="8"/>
        <v>#REF!</v>
      </c>
    </row>
    <row r="30" spans="1:22">
      <c r="A30">
        <v>3</v>
      </c>
      <c r="B30" s="4" t="e">
        <f t="shared" si="7"/>
        <v>#REF!</v>
      </c>
      <c r="C30" s="10" t="e">
        <f t="shared" si="5"/>
        <v>#REF!</v>
      </c>
      <c r="D30" s="10" t="e">
        <f t="shared" ref="D30:V30" si="9">IF($B30=D$27,$G6,0)</f>
        <v>#REF!</v>
      </c>
      <c r="E30" s="10" t="e">
        <f t="shared" si="9"/>
        <v>#REF!</v>
      </c>
      <c r="F30" s="10" t="e">
        <f t="shared" si="9"/>
        <v>#REF!</v>
      </c>
      <c r="G30" s="10" t="e">
        <f t="shared" si="9"/>
        <v>#REF!</v>
      </c>
      <c r="H30" s="10" t="e">
        <f t="shared" si="9"/>
        <v>#REF!</v>
      </c>
      <c r="I30" s="10" t="e">
        <f t="shared" si="9"/>
        <v>#REF!</v>
      </c>
      <c r="J30" s="10" t="e">
        <f t="shared" si="9"/>
        <v>#REF!</v>
      </c>
      <c r="K30" s="10" t="e">
        <f t="shared" si="9"/>
        <v>#REF!</v>
      </c>
      <c r="L30" s="10" t="e">
        <f t="shared" si="9"/>
        <v>#REF!</v>
      </c>
      <c r="M30" s="10" t="e">
        <f t="shared" si="9"/>
        <v>#REF!</v>
      </c>
      <c r="N30" s="10" t="e">
        <f t="shared" si="9"/>
        <v>#REF!</v>
      </c>
      <c r="O30" s="10" t="e">
        <f t="shared" si="9"/>
        <v>#REF!</v>
      </c>
      <c r="P30" s="10" t="e">
        <f t="shared" si="9"/>
        <v>#REF!</v>
      </c>
      <c r="Q30" s="10" t="e">
        <f t="shared" si="9"/>
        <v>#REF!</v>
      </c>
      <c r="R30" s="10" t="e">
        <f t="shared" si="9"/>
        <v>#REF!</v>
      </c>
      <c r="S30" s="10" t="e">
        <f t="shared" si="9"/>
        <v>#REF!</v>
      </c>
      <c r="T30" s="10" t="e">
        <f t="shared" si="9"/>
        <v>#REF!</v>
      </c>
      <c r="U30" s="10" t="e">
        <f t="shared" si="9"/>
        <v>#REF!</v>
      </c>
      <c r="V30" s="10" t="e">
        <f t="shared" si="9"/>
        <v>#REF!</v>
      </c>
    </row>
    <row r="31" spans="1:22">
      <c r="A31">
        <v>4</v>
      </c>
      <c r="B31" s="4" t="e">
        <f t="shared" si="7"/>
        <v>#REF!</v>
      </c>
      <c r="C31" s="10" t="e">
        <f t="shared" si="5"/>
        <v>#REF!</v>
      </c>
      <c r="D31" s="10" t="e">
        <f t="shared" ref="D31:V31" si="10">IF($B31=D$27,$G7,0)</f>
        <v>#REF!</v>
      </c>
      <c r="E31" s="10" t="e">
        <f t="shared" si="10"/>
        <v>#REF!</v>
      </c>
      <c r="F31" s="10" t="e">
        <f t="shared" si="10"/>
        <v>#REF!</v>
      </c>
      <c r="G31" s="10" t="e">
        <f t="shared" si="10"/>
        <v>#REF!</v>
      </c>
      <c r="H31" s="10" t="e">
        <f t="shared" si="10"/>
        <v>#REF!</v>
      </c>
      <c r="I31" s="10" t="e">
        <f t="shared" si="10"/>
        <v>#REF!</v>
      </c>
      <c r="J31" s="10" t="e">
        <f t="shared" si="10"/>
        <v>#REF!</v>
      </c>
      <c r="K31" s="10" t="e">
        <f t="shared" si="10"/>
        <v>#REF!</v>
      </c>
      <c r="L31" s="10" t="e">
        <f t="shared" si="10"/>
        <v>#REF!</v>
      </c>
      <c r="M31" s="10" t="e">
        <f t="shared" si="10"/>
        <v>#REF!</v>
      </c>
      <c r="N31" s="10" t="e">
        <f t="shared" si="10"/>
        <v>#REF!</v>
      </c>
      <c r="O31" s="10" t="e">
        <f t="shared" si="10"/>
        <v>#REF!</v>
      </c>
      <c r="P31" s="10" t="e">
        <f t="shared" si="10"/>
        <v>#REF!</v>
      </c>
      <c r="Q31" s="10" t="e">
        <f t="shared" si="10"/>
        <v>#REF!</v>
      </c>
      <c r="R31" s="10" t="e">
        <f t="shared" si="10"/>
        <v>#REF!</v>
      </c>
      <c r="S31" s="10" t="e">
        <f t="shared" si="10"/>
        <v>#REF!</v>
      </c>
      <c r="T31" s="10" t="e">
        <f t="shared" si="10"/>
        <v>#REF!</v>
      </c>
      <c r="U31" s="10" t="e">
        <f t="shared" si="10"/>
        <v>#REF!</v>
      </c>
      <c r="V31" s="10" t="e">
        <f t="shared" si="10"/>
        <v>#REF!</v>
      </c>
    </row>
    <row r="32" spans="1:22">
      <c r="A32">
        <v>5</v>
      </c>
      <c r="B32" s="4" t="e">
        <f t="shared" si="7"/>
        <v>#REF!</v>
      </c>
      <c r="C32" s="10" t="e">
        <f t="shared" si="5"/>
        <v>#REF!</v>
      </c>
      <c r="D32" s="10" t="e">
        <f t="shared" ref="D32:V32" si="11">IF($B32=D$27,$G8,0)</f>
        <v>#REF!</v>
      </c>
      <c r="E32" s="10" t="e">
        <f t="shared" si="11"/>
        <v>#REF!</v>
      </c>
      <c r="F32" s="10" t="e">
        <f t="shared" si="11"/>
        <v>#REF!</v>
      </c>
      <c r="G32" s="10" t="e">
        <f t="shared" si="11"/>
        <v>#REF!</v>
      </c>
      <c r="H32" s="10" t="e">
        <f t="shared" si="11"/>
        <v>#REF!</v>
      </c>
      <c r="I32" s="10" t="e">
        <f t="shared" si="11"/>
        <v>#REF!</v>
      </c>
      <c r="J32" s="10" t="e">
        <f t="shared" si="11"/>
        <v>#REF!</v>
      </c>
      <c r="K32" s="10" t="e">
        <f t="shared" si="11"/>
        <v>#REF!</v>
      </c>
      <c r="L32" s="10" t="e">
        <f t="shared" si="11"/>
        <v>#REF!</v>
      </c>
      <c r="M32" s="10" t="e">
        <f t="shared" si="11"/>
        <v>#REF!</v>
      </c>
      <c r="N32" s="10" t="e">
        <f t="shared" si="11"/>
        <v>#REF!</v>
      </c>
      <c r="O32" s="10" t="e">
        <f t="shared" si="11"/>
        <v>#REF!</v>
      </c>
      <c r="P32" s="10" t="e">
        <f t="shared" si="11"/>
        <v>#REF!</v>
      </c>
      <c r="Q32" s="10" t="e">
        <f t="shared" si="11"/>
        <v>#REF!</v>
      </c>
      <c r="R32" s="10" t="e">
        <f t="shared" si="11"/>
        <v>#REF!</v>
      </c>
      <c r="S32" s="10" t="e">
        <f t="shared" si="11"/>
        <v>#REF!</v>
      </c>
      <c r="T32" s="10" t="e">
        <f t="shared" si="11"/>
        <v>#REF!</v>
      </c>
      <c r="U32" s="10" t="e">
        <f t="shared" si="11"/>
        <v>#REF!</v>
      </c>
      <c r="V32" s="10" t="e">
        <f t="shared" si="11"/>
        <v>#REF!</v>
      </c>
    </row>
    <row r="33" spans="1:23">
      <c r="A33">
        <v>6</v>
      </c>
      <c r="B33" s="4" t="e">
        <f t="shared" si="7"/>
        <v>#REF!</v>
      </c>
      <c r="C33" s="10" t="e">
        <f t="shared" si="5"/>
        <v>#REF!</v>
      </c>
      <c r="D33" s="10" t="e">
        <f t="shared" ref="D33:V33" si="12">IF($B33=D$27,$G9,0)</f>
        <v>#REF!</v>
      </c>
      <c r="E33" s="10" t="e">
        <f t="shared" si="12"/>
        <v>#REF!</v>
      </c>
      <c r="F33" s="10" t="e">
        <f t="shared" si="12"/>
        <v>#REF!</v>
      </c>
      <c r="G33" s="10" t="e">
        <f t="shared" si="12"/>
        <v>#REF!</v>
      </c>
      <c r="H33" s="10" t="e">
        <f t="shared" si="12"/>
        <v>#REF!</v>
      </c>
      <c r="I33" s="10" t="e">
        <f t="shared" si="12"/>
        <v>#REF!</v>
      </c>
      <c r="J33" s="10" t="e">
        <f t="shared" si="12"/>
        <v>#REF!</v>
      </c>
      <c r="K33" s="10" t="e">
        <f t="shared" si="12"/>
        <v>#REF!</v>
      </c>
      <c r="L33" s="10" t="e">
        <f t="shared" si="12"/>
        <v>#REF!</v>
      </c>
      <c r="M33" s="10" t="e">
        <f t="shared" si="12"/>
        <v>#REF!</v>
      </c>
      <c r="N33" s="10" t="e">
        <f t="shared" si="12"/>
        <v>#REF!</v>
      </c>
      <c r="O33" s="10" t="e">
        <f t="shared" si="12"/>
        <v>#REF!</v>
      </c>
      <c r="P33" s="10" t="e">
        <f t="shared" si="12"/>
        <v>#REF!</v>
      </c>
      <c r="Q33" s="10" t="e">
        <f t="shared" si="12"/>
        <v>#REF!</v>
      </c>
      <c r="R33" s="10" t="e">
        <f t="shared" si="12"/>
        <v>#REF!</v>
      </c>
      <c r="S33" s="10" t="e">
        <f t="shared" si="12"/>
        <v>#REF!</v>
      </c>
      <c r="T33" s="10" t="e">
        <f t="shared" si="12"/>
        <v>#REF!</v>
      </c>
      <c r="U33" s="10" t="e">
        <f t="shared" si="12"/>
        <v>#REF!</v>
      </c>
      <c r="V33" s="10" t="e">
        <f t="shared" si="12"/>
        <v>#REF!</v>
      </c>
    </row>
    <row r="34" spans="1:23">
      <c r="A34">
        <v>7</v>
      </c>
      <c r="B34" s="4" t="e">
        <f t="shared" si="7"/>
        <v>#REF!</v>
      </c>
      <c r="C34" s="10" t="e">
        <f t="shared" si="5"/>
        <v>#REF!</v>
      </c>
      <c r="D34" s="10" t="e">
        <f t="shared" ref="D34:V34" si="13">IF($B34=D$27,$G10,0)</f>
        <v>#REF!</v>
      </c>
      <c r="E34" s="10" t="e">
        <f t="shared" si="13"/>
        <v>#REF!</v>
      </c>
      <c r="F34" s="10" t="e">
        <f t="shared" si="13"/>
        <v>#REF!</v>
      </c>
      <c r="G34" s="10" t="e">
        <f t="shared" si="13"/>
        <v>#REF!</v>
      </c>
      <c r="H34" s="10" t="e">
        <f t="shared" si="13"/>
        <v>#REF!</v>
      </c>
      <c r="I34" s="10" t="e">
        <f t="shared" si="13"/>
        <v>#REF!</v>
      </c>
      <c r="J34" s="10" t="e">
        <f t="shared" si="13"/>
        <v>#REF!</v>
      </c>
      <c r="K34" s="10" t="e">
        <f t="shared" si="13"/>
        <v>#REF!</v>
      </c>
      <c r="L34" s="10" t="e">
        <f t="shared" si="13"/>
        <v>#REF!</v>
      </c>
      <c r="M34" s="10" t="e">
        <f t="shared" si="13"/>
        <v>#REF!</v>
      </c>
      <c r="N34" s="10" t="e">
        <f t="shared" si="13"/>
        <v>#REF!</v>
      </c>
      <c r="O34" s="10" t="e">
        <f t="shared" si="13"/>
        <v>#REF!</v>
      </c>
      <c r="P34" s="10" t="e">
        <f t="shared" si="13"/>
        <v>#REF!</v>
      </c>
      <c r="Q34" s="10" t="e">
        <f t="shared" si="13"/>
        <v>#REF!</v>
      </c>
      <c r="R34" s="10" t="e">
        <f t="shared" si="13"/>
        <v>#REF!</v>
      </c>
      <c r="S34" s="10" t="e">
        <f t="shared" si="13"/>
        <v>#REF!</v>
      </c>
      <c r="T34" s="10" t="e">
        <f t="shared" si="13"/>
        <v>#REF!</v>
      </c>
      <c r="U34" s="10" t="e">
        <f t="shared" si="13"/>
        <v>#REF!</v>
      </c>
      <c r="V34" s="10" t="e">
        <f t="shared" si="13"/>
        <v>#REF!</v>
      </c>
    </row>
    <row r="35" spans="1:23">
      <c r="A35">
        <v>8</v>
      </c>
      <c r="B35" s="4" t="e">
        <f t="shared" si="7"/>
        <v>#REF!</v>
      </c>
      <c r="C35" s="10" t="e">
        <f t="shared" si="5"/>
        <v>#REF!</v>
      </c>
      <c r="D35" s="10" t="e">
        <f t="shared" ref="D35:V35" si="14">IF($B35=D$27,$G11,0)</f>
        <v>#REF!</v>
      </c>
      <c r="E35" s="10" t="e">
        <f t="shared" si="14"/>
        <v>#REF!</v>
      </c>
      <c r="F35" s="10" t="e">
        <f t="shared" si="14"/>
        <v>#REF!</v>
      </c>
      <c r="G35" s="10" t="e">
        <f t="shared" si="14"/>
        <v>#REF!</v>
      </c>
      <c r="H35" s="10" t="e">
        <f t="shared" si="14"/>
        <v>#REF!</v>
      </c>
      <c r="I35" s="10" t="e">
        <f t="shared" si="14"/>
        <v>#REF!</v>
      </c>
      <c r="J35" s="10" t="e">
        <f t="shared" si="14"/>
        <v>#REF!</v>
      </c>
      <c r="K35" s="10" t="e">
        <f t="shared" si="14"/>
        <v>#REF!</v>
      </c>
      <c r="L35" s="10" t="e">
        <f t="shared" si="14"/>
        <v>#REF!</v>
      </c>
      <c r="M35" s="10" t="e">
        <f t="shared" si="14"/>
        <v>#REF!</v>
      </c>
      <c r="N35" s="10" t="e">
        <f t="shared" si="14"/>
        <v>#REF!</v>
      </c>
      <c r="O35" s="10" t="e">
        <f t="shared" si="14"/>
        <v>#REF!</v>
      </c>
      <c r="P35" s="10" t="e">
        <f t="shared" si="14"/>
        <v>#REF!</v>
      </c>
      <c r="Q35" s="10" t="e">
        <f t="shared" si="14"/>
        <v>#REF!</v>
      </c>
      <c r="R35" s="10" t="e">
        <f t="shared" si="14"/>
        <v>#REF!</v>
      </c>
      <c r="S35" s="10" t="e">
        <f t="shared" si="14"/>
        <v>#REF!</v>
      </c>
      <c r="T35" s="10" t="e">
        <f t="shared" si="14"/>
        <v>#REF!</v>
      </c>
      <c r="U35" s="10" t="e">
        <f t="shared" si="14"/>
        <v>#REF!</v>
      </c>
      <c r="V35" s="10" t="e">
        <f t="shared" si="14"/>
        <v>#REF!</v>
      </c>
    </row>
    <row r="36" spans="1:23">
      <c r="A36">
        <v>9</v>
      </c>
      <c r="B36" s="4" t="e">
        <f t="shared" si="7"/>
        <v>#REF!</v>
      </c>
      <c r="C36" s="10" t="e">
        <f t="shared" si="5"/>
        <v>#REF!</v>
      </c>
      <c r="D36" s="10" t="e">
        <f t="shared" ref="D36:V36" si="15">IF($B36=D$27,$G12,0)</f>
        <v>#REF!</v>
      </c>
      <c r="E36" s="10" t="e">
        <f t="shared" si="15"/>
        <v>#REF!</v>
      </c>
      <c r="F36" s="10" t="e">
        <f t="shared" si="15"/>
        <v>#REF!</v>
      </c>
      <c r="G36" s="10" t="e">
        <f t="shared" si="15"/>
        <v>#REF!</v>
      </c>
      <c r="H36" s="10" t="e">
        <f t="shared" si="15"/>
        <v>#REF!</v>
      </c>
      <c r="I36" s="10" t="e">
        <f t="shared" si="15"/>
        <v>#REF!</v>
      </c>
      <c r="J36" s="10" t="e">
        <f t="shared" si="15"/>
        <v>#REF!</v>
      </c>
      <c r="K36" s="10" t="e">
        <f t="shared" si="15"/>
        <v>#REF!</v>
      </c>
      <c r="L36" s="10" t="e">
        <f t="shared" si="15"/>
        <v>#REF!</v>
      </c>
      <c r="M36" s="10" t="e">
        <f t="shared" si="15"/>
        <v>#REF!</v>
      </c>
      <c r="N36" s="10" t="e">
        <f t="shared" si="15"/>
        <v>#REF!</v>
      </c>
      <c r="O36" s="10" t="e">
        <f t="shared" si="15"/>
        <v>#REF!</v>
      </c>
      <c r="P36" s="10" t="e">
        <f t="shared" si="15"/>
        <v>#REF!</v>
      </c>
      <c r="Q36" s="10" t="e">
        <f t="shared" si="15"/>
        <v>#REF!</v>
      </c>
      <c r="R36" s="10" t="e">
        <f t="shared" si="15"/>
        <v>#REF!</v>
      </c>
      <c r="S36" s="10" t="e">
        <f t="shared" si="15"/>
        <v>#REF!</v>
      </c>
      <c r="T36" s="10" t="e">
        <f t="shared" si="15"/>
        <v>#REF!</v>
      </c>
      <c r="U36" s="10" t="e">
        <f t="shared" si="15"/>
        <v>#REF!</v>
      </c>
      <c r="V36" s="10" t="e">
        <f t="shared" si="15"/>
        <v>#REF!</v>
      </c>
    </row>
    <row r="37" spans="1:23">
      <c r="A37">
        <v>10</v>
      </c>
      <c r="B37" s="4" t="e">
        <f t="shared" si="7"/>
        <v>#REF!</v>
      </c>
      <c r="C37" s="10" t="e">
        <f t="shared" si="5"/>
        <v>#REF!</v>
      </c>
      <c r="D37" s="10" t="e">
        <f t="shared" ref="D37:V37" si="16">IF($B37=D$27,$G13,0)</f>
        <v>#REF!</v>
      </c>
      <c r="E37" s="10" t="e">
        <f t="shared" si="16"/>
        <v>#REF!</v>
      </c>
      <c r="F37" s="10" t="e">
        <f t="shared" si="16"/>
        <v>#REF!</v>
      </c>
      <c r="G37" s="10" t="e">
        <f t="shared" si="16"/>
        <v>#REF!</v>
      </c>
      <c r="H37" s="10" t="e">
        <f t="shared" si="16"/>
        <v>#REF!</v>
      </c>
      <c r="I37" s="10" t="e">
        <f t="shared" si="16"/>
        <v>#REF!</v>
      </c>
      <c r="J37" s="10" t="e">
        <f t="shared" si="16"/>
        <v>#REF!</v>
      </c>
      <c r="K37" s="10" t="e">
        <f t="shared" si="16"/>
        <v>#REF!</v>
      </c>
      <c r="L37" s="10" t="e">
        <f t="shared" si="16"/>
        <v>#REF!</v>
      </c>
      <c r="M37" s="10" t="e">
        <f t="shared" si="16"/>
        <v>#REF!</v>
      </c>
      <c r="N37" s="10" t="e">
        <f t="shared" si="16"/>
        <v>#REF!</v>
      </c>
      <c r="O37" s="10" t="e">
        <f t="shared" si="16"/>
        <v>#REF!</v>
      </c>
      <c r="P37" s="10" t="e">
        <f t="shared" si="16"/>
        <v>#REF!</v>
      </c>
      <c r="Q37" s="10" t="e">
        <f t="shared" si="16"/>
        <v>#REF!</v>
      </c>
      <c r="R37" s="10" t="e">
        <f t="shared" si="16"/>
        <v>#REF!</v>
      </c>
      <c r="S37" s="10" t="e">
        <f t="shared" si="16"/>
        <v>#REF!</v>
      </c>
      <c r="T37" s="10" t="e">
        <f t="shared" si="16"/>
        <v>#REF!</v>
      </c>
      <c r="U37" s="10" t="e">
        <f t="shared" si="16"/>
        <v>#REF!</v>
      </c>
      <c r="V37" s="10" t="e">
        <f t="shared" si="16"/>
        <v>#REF!</v>
      </c>
    </row>
    <row r="38" spans="1:23">
      <c r="A38">
        <v>11</v>
      </c>
      <c r="B38" s="4" t="e">
        <f t="shared" si="7"/>
        <v>#REF!</v>
      </c>
      <c r="C38" s="10" t="e">
        <f t="shared" si="5"/>
        <v>#REF!</v>
      </c>
      <c r="D38" s="10" t="e">
        <f t="shared" ref="D38:V38" si="17">IF($B38=D$27,$G14,0)</f>
        <v>#REF!</v>
      </c>
      <c r="E38" s="10" t="e">
        <f t="shared" si="17"/>
        <v>#REF!</v>
      </c>
      <c r="F38" s="10" t="e">
        <f t="shared" si="17"/>
        <v>#REF!</v>
      </c>
      <c r="G38" s="10" t="e">
        <f t="shared" si="17"/>
        <v>#REF!</v>
      </c>
      <c r="H38" s="10" t="e">
        <f t="shared" si="17"/>
        <v>#REF!</v>
      </c>
      <c r="I38" s="10" t="e">
        <f t="shared" si="17"/>
        <v>#REF!</v>
      </c>
      <c r="J38" s="10" t="e">
        <f t="shared" si="17"/>
        <v>#REF!</v>
      </c>
      <c r="K38" s="10" t="e">
        <f t="shared" si="17"/>
        <v>#REF!</v>
      </c>
      <c r="L38" s="10" t="e">
        <f t="shared" si="17"/>
        <v>#REF!</v>
      </c>
      <c r="M38" s="10" t="e">
        <f t="shared" si="17"/>
        <v>#REF!</v>
      </c>
      <c r="N38" s="10" t="e">
        <f t="shared" si="17"/>
        <v>#REF!</v>
      </c>
      <c r="O38" s="10" t="e">
        <f t="shared" si="17"/>
        <v>#REF!</v>
      </c>
      <c r="P38" s="10" t="e">
        <f t="shared" si="17"/>
        <v>#REF!</v>
      </c>
      <c r="Q38" s="10" t="e">
        <f t="shared" si="17"/>
        <v>#REF!</v>
      </c>
      <c r="R38" s="10" t="e">
        <f t="shared" si="17"/>
        <v>#REF!</v>
      </c>
      <c r="S38" s="10" t="e">
        <f t="shared" si="17"/>
        <v>#REF!</v>
      </c>
      <c r="T38" s="10" t="e">
        <f t="shared" si="17"/>
        <v>#REF!</v>
      </c>
      <c r="U38" s="10" t="e">
        <f t="shared" si="17"/>
        <v>#REF!</v>
      </c>
      <c r="V38" s="10" t="e">
        <f t="shared" si="17"/>
        <v>#REF!</v>
      </c>
    </row>
    <row r="39" spans="1:23">
      <c r="A39">
        <v>12</v>
      </c>
      <c r="B39" s="4" t="e">
        <f t="shared" si="7"/>
        <v>#REF!</v>
      </c>
      <c r="C39" s="10" t="e">
        <f t="shared" si="5"/>
        <v>#REF!</v>
      </c>
      <c r="D39" s="10" t="e">
        <f t="shared" ref="D39:V39" si="18">IF($B39=D$27,$G15,0)</f>
        <v>#REF!</v>
      </c>
      <c r="E39" s="10" t="e">
        <f t="shared" si="18"/>
        <v>#REF!</v>
      </c>
      <c r="F39" s="10" t="e">
        <f t="shared" si="18"/>
        <v>#REF!</v>
      </c>
      <c r="G39" s="10" t="e">
        <f t="shared" si="18"/>
        <v>#REF!</v>
      </c>
      <c r="H39" s="10" t="e">
        <f t="shared" si="18"/>
        <v>#REF!</v>
      </c>
      <c r="I39" s="10" t="e">
        <f t="shared" si="18"/>
        <v>#REF!</v>
      </c>
      <c r="J39" s="10" t="e">
        <f t="shared" si="18"/>
        <v>#REF!</v>
      </c>
      <c r="K39" s="10" t="e">
        <f t="shared" si="18"/>
        <v>#REF!</v>
      </c>
      <c r="L39" s="10" t="e">
        <f t="shared" si="18"/>
        <v>#REF!</v>
      </c>
      <c r="M39" s="10" t="e">
        <f t="shared" si="18"/>
        <v>#REF!</v>
      </c>
      <c r="N39" s="10" t="e">
        <f t="shared" si="18"/>
        <v>#REF!</v>
      </c>
      <c r="O39" s="10" t="e">
        <f t="shared" si="18"/>
        <v>#REF!</v>
      </c>
      <c r="P39" s="10" t="e">
        <f t="shared" si="18"/>
        <v>#REF!</v>
      </c>
      <c r="Q39" s="10" t="e">
        <f t="shared" si="18"/>
        <v>#REF!</v>
      </c>
      <c r="R39" s="10" t="e">
        <f t="shared" si="18"/>
        <v>#REF!</v>
      </c>
      <c r="S39" s="10" t="e">
        <f t="shared" si="18"/>
        <v>#REF!</v>
      </c>
      <c r="T39" s="10" t="e">
        <f t="shared" si="18"/>
        <v>#REF!</v>
      </c>
      <c r="U39" s="10" t="e">
        <f t="shared" si="18"/>
        <v>#REF!</v>
      </c>
      <c r="V39" s="10" t="e">
        <f t="shared" si="18"/>
        <v>#REF!</v>
      </c>
    </row>
    <row r="40" spans="1:23">
      <c r="A40">
        <v>13</v>
      </c>
      <c r="B40" s="4" t="e">
        <f t="shared" si="7"/>
        <v>#REF!</v>
      </c>
      <c r="C40" s="10" t="e">
        <f t="shared" si="5"/>
        <v>#REF!</v>
      </c>
      <c r="D40" s="10" t="e">
        <f t="shared" ref="D40:V40" si="19">IF($B40=D$27,$G16,0)</f>
        <v>#REF!</v>
      </c>
      <c r="E40" s="10" t="e">
        <f t="shared" si="19"/>
        <v>#REF!</v>
      </c>
      <c r="F40" s="10" t="e">
        <f t="shared" si="19"/>
        <v>#REF!</v>
      </c>
      <c r="G40" s="10" t="e">
        <f t="shared" si="19"/>
        <v>#REF!</v>
      </c>
      <c r="H40" s="10" t="e">
        <f t="shared" si="19"/>
        <v>#REF!</v>
      </c>
      <c r="I40" s="10" t="e">
        <f t="shared" si="19"/>
        <v>#REF!</v>
      </c>
      <c r="J40" s="10" t="e">
        <f t="shared" si="19"/>
        <v>#REF!</v>
      </c>
      <c r="K40" s="10" t="e">
        <f t="shared" si="19"/>
        <v>#REF!</v>
      </c>
      <c r="L40" s="10" t="e">
        <f t="shared" si="19"/>
        <v>#REF!</v>
      </c>
      <c r="M40" s="10" t="e">
        <f t="shared" si="19"/>
        <v>#REF!</v>
      </c>
      <c r="N40" s="10" t="e">
        <f t="shared" si="19"/>
        <v>#REF!</v>
      </c>
      <c r="O40" s="10" t="e">
        <f t="shared" si="19"/>
        <v>#REF!</v>
      </c>
      <c r="P40" s="10" t="e">
        <f t="shared" si="19"/>
        <v>#REF!</v>
      </c>
      <c r="Q40" s="10" t="e">
        <f t="shared" si="19"/>
        <v>#REF!</v>
      </c>
      <c r="R40" s="10" t="e">
        <f t="shared" si="19"/>
        <v>#REF!</v>
      </c>
      <c r="S40" s="10" t="e">
        <f t="shared" si="19"/>
        <v>#REF!</v>
      </c>
      <c r="T40" s="10" t="e">
        <f t="shared" si="19"/>
        <v>#REF!</v>
      </c>
      <c r="U40" s="10" t="e">
        <f t="shared" si="19"/>
        <v>#REF!</v>
      </c>
      <c r="V40" s="10" t="e">
        <f t="shared" si="19"/>
        <v>#REF!</v>
      </c>
    </row>
    <row r="41" spans="1:23">
      <c r="A41">
        <v>14</v>
      </c>
      <c r="B41" s="4" t="e">
        <f t="shared" si="7"/>
        <v>#REF!</v>
      </c>
      <c r="C41" s="10" t="e">
        <f t="shared" si="5"/>
        <v>#REF!</v>
      </c>
      <c r="D41" s="10" t="e">
        <f t="shared" ref="D41:V41" si="20">IF($B41=D$27,$G17,0)</f>
        <v>#REF!</v>
      </c>
      <c r="E41" s="10" t="e">
        <f t="shared" si="20"/>
        <v>#REF!</v>
      </c>
      <c r="F41" s="10" t="e">
        <f t="shared" si="20"/>
        <v>#REF!</v>
      </c>
      <c r="G41" s="10" t="e">
        <f t="shared" si="20"/>
        <v>#REF!</v>
      </c>
      <c r="H41" s="10" t="e">
        <f t="shared" si="20"/>
        <v>#REF!</v>
      </c>
      <c r="I41" s="10" t="e">
        <f t="shared" si="20"/>
        <v>#REF!</v>
      </c>
      <c r="J41" s="10" t="e">
        <f t="shared" si="20"/>
        <v>#REF!</v>
      </c>
      <c r="K41" s="10" t="e">
        <f t="shared" si="20"/>
        <v>#REF!</v>
      </c>
      <c r="L41" s="10" t="e">
        <f t="shared" si="20"/>
        <v>#REF!</v>
      </c>
      <c r="M41" s="10" t="e">
        <f t="shared" si="20"/>
        <v>#REF!</v>
      </c>
      <c r="N41" s="10" t="e">
        <f t="shared" si="20"/>
        <v>#REF!</v>
      </c>
      <c r="O41" s="10" t="e">
        <f t="shared" si="20"/>
        <v>#REF!</v>
      </c>
      <c r="P41" s="10" t="e">
        <f t="shared" si="20"/>
        <v>#REF!</v>
      </c>
      <c r="Q41" s="10" t="e">
        <f t="shared" si="20"/>
        <v>#REF!</v>
      </c>
      <c r="R41" s="10" t="e">
        <f t="shared" si="20"/>
        <v>#REF!</v>
      </c>
      <c r="S41" s="10" t="e">
        <f t="shared" si="20"/>
        <v>#REF!</v>
      </c>
      <c r="T41" s="10" t="e">
        <f t="shared" si="20"/>
        <v>#REF!</v>
      </c>
      <c r="U41" s="10" t="e">
        <f t="shared" si="20"/>
        <v>#REF!</v>
      </c>
      <c r="V41" s="10" t="e">
        <f t="shared" si="20"/>
        <v>#REF!</v>
      </c>
    </row>
    <row r="42" spans="1:23">
      <c r="A42">
        <v>15</v>
      </c>
      <c r="B42" s="4" t="e">
        <f t="shared" si="7"/>
        <v>#REF!</v>
      </c>
      <c r="C42" s="10" t="e">
        <f t="shared" si="5"/>
        <v>#REF!</v>
      </c>
      <c r="D42" s="10" t="e">
        <f t="shared" ref="D42:V42" si="21">IF($B42=D$27,$G18,0)</f>
        <v>#REF!</v>
      </c>
      <c r="E42" s="10" t="e">
        <f t="shared" si="21"/>
        <v>#REF!</v>
      </c>
      <c r="F42" s="10" t="e">
        <f t="shared" si="21"/>
        <v>#REF!</v>
      </c>
      <c r="G42" s="10" t="e">
        <f t="shared" si="21"/>
        <v>#REF!</v>
      </c>
      <c r="H42" s="10" t="e">
        <f t="shared" si="21"/>
        <v>#REF!</v>
      </c>
      <c r="I42" s="10" t="e">
        <f t="shared" si="21"/>
        <v>#REF!</v>
      </c>
      <c r="J42" s="10" t="e">
        <f t="shared" si="21"/>
        <v>#REF!</v>
      </c>
      <c r="K42" s="10" t="e">
        <f t="shared" si="21"/>
        <v>#REF!</v>
      </c>
      <c r="L42" s="10" t="e">
        <f t="shared" si="21"/>
        <v>#REF!</v>
      </c>
      <c r="M42" s="10" t="e">
        <f t="shared" si="21"/>
        <v>#REF!</v>
      </c>
      <c r="N42" s="10" t="e">
        <f t="shared" si="21"/>
        <v>#REF!</v>
      </c>
      <c r="O42" s="10" t="e">
        <f t="shared" si="21"/>
        <v>#REF!</v>
      </c>
      <c r="P42" s="10" t="e">
        <f t="shared" si="21"/>
        <v>#REF!</v>
      </c>
      <c r="Q42" s="10" t="e">
        <f t="shared" si="21"/>
        <v>#REF!</v>
      </c>
      <c r="R42" s="10" t="e">
        <f t="shared" si="21"/>
        <v>#REF!</v>
      </c>
      <c r="S42" s="10" t="e">
        <f t="shared" si="21"/>
        <v>#REF!</v>
      </c>
      <c r="T42" s="10" t="e">
        <f t="shared" si="21"/>
        <v>#REF!</v>
      </c>
      <c r="U42" s="10" t="e">
        <f t="shared" si="21"/>
        <v>#REF!</v>
      </c>
      <c r="V42" s="10" t="e">
        <f t="shared" si="21"/>
        <v>#REF!</v>
      </c>
    </row>
    <row r="43" spans="1:23">
      <c r="A43">
        <v>16</v>
      </c>
      <c r="B43" s="4" t="e">
        <f t="shared" si="7"/>
        <v>#REF!</v>
      </c>
      <c r="C43" s="10" t="e">
        <f t="shared" si="5"/>
        <v>#REF!</v>
      </c>
      <c r="D43" s="10" t="e">
        <f t="shared" ref="D43:V43" si="22">IF($B43=D$27,$G19,0)</f>
        <v>#REF!</v>
      </c>
      <c r="E43" s="10" t="e">
        <f t="shared" si="22"/>
        <v>#REF!</v>
      </c>
      <c r="F43" s="10" t="e">
        <f t="shared" si="22"/>
        <v>#REF!</v>
      </c>
      <c r="G43" s="10" t="e">
        <f t="shared" si="22"/>
        <v>#REF!</v>
      </c>
      <c r="H43" s="10" t="e">
        <f t="shared" si="22"/>
        <v>#REF!</v>
      </c>
      <c r="I43" s="10" t="e">
        <f t="shared" si="22"/>
        <v>#REF!</v>
      </c>
      <c r="J43" s="10" t="e">
        <f t="shared" si="22"/>
        <v>#REF!</v>
      </c>
      <c r="K43" s="10" t="e">
        <f t="shared" si="22"/>
        <v>#REF!</v>
      </c>
      <c r="L43" s="10" t="e">
        <f t="shared" si="22"/>
        <v>#REF!</v>
      </c>
      <c r="M43" s="10" t="e">
        <f t="shared" si="22"/>
        <v>#REF!</v>
      </c>
      <c r="N43" s="10" t="e">
        <f t="shared" si="22"/>
        <v>#REF!</v>
      </c>
      <c r="O43" s="10" t="e">
        <f t="shared" si="22"/>
        <v>#REF!</v>
      </c>
      <c r="P43" s="10" t="e">
        <f t="shared" si="22"/>
        <v>#REF!</v>
      </c>
      <c r="Q43" s="10" t="e">
        <f t="shared" si="22"/>
        <v>#REF!</v>
      </c>
      <c r="R43" s="10" t="e">
        <f t="shared" si="22"/>
        <v>#REF!</v>
      </c>
      <c r="S43" s="10" t="e">
        <f t="shared" si="22"/>
        <v>#REF!</v>
      </c>
      <c r="T43" s="10" t="e">
        <f t="shared" si="22"/>
        <v>#REF!</v>
      </c>
      <c r="U43" s="10" t="e">
        <f t="shared" si="22"/>
        <v>#REF!</v>
      </c>
      <c r="V43" s="10" t="e">
        <f t="shared" si="22"/>
        <v>#REF!</v>
      </c>
    </row>
    <row r="44" spans="1:23">
      <c r="A44">
        <v>17</v>
      </c>
      <c r="B44" s="4" t="e">
        <f t="shared" si="7"/>
        <v>#REF!</v>
      </c>
      <c r="C44" s="10" t="e">
        <f t="shared" si="5"/>
        <v>#REF!</v>
      </c>
      <c r="D44" s="10" t="e">
        <f t="shared" ref="D44:V44" si="23">IF($B44=D$27,$G20,0)</f>
        <v>#REF!</v>
      </c>
      <c r="E44" s="10" t="e">
        <f t="shared" si="23"/>
        <v>#REF!</v>
      </c>
      <c r="F44" s="10" t="e">
        <f t="shared" si="23"/>
        <v>#REF!</v>
      </c>
      <c r="G44" s="10" t="e">
        <f t="shared" si="23"/>
        <v>#REF!</v>
      </c>
      <c r="H44" s="10" t="e">
        <f t="shared" si="23"/>
        <v>#REF!</v>
      </c>
      <c r="I44" s="10" t="e">
        <f t="shared" si="23"/>
        <v>#REF!</v>
      </c>
      <c r="J44" s="10" t="e">
        <f t="shared" si="23"/>
        <v>#REF!</v>
      </c>
      <c r="K44" s="10" t="e">
        <f t="shared" si="23"/>
        <v>#REF!</v>
      </c>
      <c r="L44" s="10" t="e">
        <f t="shared" si="23"/>
        <v>#REF!</v>
      </c>
      <c r="M44" s="10" t="e">
        <f t="shared" si="23"/>
        <v>#REF!</v>
      </c>
      <c r="N44" s="10" t="e">
        <f t="shared" si="23"/>
        <v>#REF!</v>
      </c>
      <c r="O44" s="10" t="e">
        <f t="shared" si="23"/>
        <v>#REF!</v>
      </c>
      <c r="P44" s="10" t="e">
        <f t="shared" si="23"/>
        <v>#REF!</v>
      </c>
      <c r="Q44" s="10" t="e">
        <f t="shared" si="23"/>
        <v>#REF!</v>
      </c>
      <c r="R44" s="10" t="e">
        <f t="shared" si="23"/>
        <v>#REF!</v>
      </c>
      <c r="S44" s="10" t="e">
        <f t="shared" si="23"/>
        <v>#REF!</v>
      </c>
      <c r="T44" s="10" t="e">
        <f t="shared" si="23"/>
        <v>#REF!</v>
      </c>
      <c r="U44" s="10" t="e">
        <f t="shared" si="23"/>
        <v>#REF!</v>
      </c>
      <c r="V44" s="10" t="e">
        <f t="shared" si="23"/>
        <v>#REF!</v>
      </c>
    </row>
    <row r="45" spans="1:23">
      <c r="A45">
        <v>18</v>
      </c>
      <c r="B45" s="4" t="e">
        <f t="shared" si="7"/>
        <v>#REF!</v>
      </c>
      <c r="C45" s="10" t="e">
        <f t="shared" si="5"/>
        <v>#REF!</v>
      </c>
      <c r="D45" s="10" t="e">
        <f t="shared" ref="D45:V45" si="24">IF($B45=D$27,$G21,0)</f>
        <v>#REF!</v>
      </c>
      <c r="E45" s="10" t="e">
        <f t="shared" si="24"/>
        <v>#REF!</v>
      </c>
      <c r="F45" s="10" t="e">
        <f t="shared" si="24"/>
        <v>#REF!</v>
      </c>
      <c r="G45" s="10" t="e">
        <f t="shared" si="24"/>
        <v>#REF!</v>
      </c>
      <c r="H45" s="10" t="e">
        <f t="shared" si="24"/>
        <v>#REF!</v>
      </c>
      <c r="I45" s="10" t="e">
        <f t="shared" si="24"/>
        <v>#REF!</v>
      </c>
      <c r="J45" s="10" t="e">
        <f t="shared" si="24"/>
        <v>#REF!</v>
      </c>
      <c r="K45" s="10" t="e">
        <f t="shared" si="24"/>
        <v>#REF!</v>
      </c>
      <c r="L45" s="10" t="e">
        <f t="shared" si="24"/>
        <v>#REF!</v>
      </c>
      <c r="M45" s="10" t="e">
        <f t="shared" si="24"/>
        <v>#REF!</v>
      </c>
      <c r="N45" s="10" t="e">
        <f t="shared" si="24"/>
        <v>#REF!</v>
      </c>
      <c r="O45" s="10" t="e">
        <f t="shared" si="24"/>
        <v>#REF!</v>
      </c>
      <c r="P45" s="10" t="e">
        <f t="shared" si="24"/>
        <v>#REF!</v>
      </c>
      <c r="Q45" s="10" t="e">
        <f t="shared" si="24"/>
        <v>#REF!</v>
      </c>
      <c r="R45" s="10" t="e">
        <f t="shared" si="24"/>
        <v>#REF!</v>
      </c>
      <c r="S45" s="10" t="e">
        <f t="shared" si="24"/>
        <v>#REF!</v>
      </c>
      <c r="T45" s="10" t="e">
        <f t="shared" si="24"/>
        <v>#REF!</v>
      </c>
      <c r="U45" s="10" t="e">
        <f t="shared" si="24"/>
        <v>#REF!</v>
      </c>
      <c r="V45" s="10" t="e">
        <f t="shared" si="24"/>
        <v>#REF!</v>
      </c>
    </row>
    <row r="46" spans="1:23">
      <c r="A46">
        <v>19</v>
      </c>
      <c r="B46" s="4" t="e">
        <f t="shared" si="7"/>
        <v>#REF!</v>
      </c>
      <c r="C46" s="10" t="e">
        <f t="shared" si="5"/>
        <v>#REF!</v>
      </c>
      <c r="D46" s="10" t="e">
        <f t="shared" ref="D46:V46" si="25">IF($B46=D$27,$G22,0)</f>
        <v>#REF!</v>
      </c>
      <c r="E46" s="10" t="e">
        <f t="shared" si="25"/>
        <v>#REF!</v>
      </c>
      <c r="F46" s="10" t="e">
        <f t="shared" si="25"/>
        <v>#REF!</v>
      </c>
      <c r="G46" s="10" t="e">
        <f t="shared" si="25"/>
        <v>#REF!</v>
      </c>
      <c r="H46" s="10" t="e">
        <f t="shared" si="25"/>
        <v>#REF!</v>
      </c>
      <c r="I46" s="10" t="e">
        <f t="shared" si="25"/>
        <v>#REF!</v>
      </c>
      <c r="J46" s="10" t="e">
        <f t="shared" si="25"/>
        <v>#REF!</v>
      </c>
      <c r="K46" s="10" t="e">
        <f t="shared" si="25"/>
        <v>#REF!</v>
      </c>
      <c r="L46" s="10" t="e">
        <f t="shared" si="25"/>
        <v>#REF!</v>
      </c>
      <c r="M46" s="10" t="e">
        <f t="shared" si="25"/>
        <v>#REF!</v>
      </c>
      <c r="N46" s="10" t="e">
        <f t="shared" si="25"/>
        <v>#REF!</v>
      </c>
      <c r="O46" s="10" t="e">
        <f t="shared" si="25"/>
        <v>#REF!</v>
      </c>
      <c r="P46" s="10" t="e">
        <f t="shared" si="25"/>
        <v>#REF!</v>
      </c>
      <c r="Q46" s="10" t="e">
        <f t="shared" si="25"/>
        <v>#REF!</v>
      </c>
      <c r="R46" s="10" t="e">
        <f t="shared" si="25"/>
        <v>#REF!</v>
      </c>
      <c r="S46" s="10" t="e">
        <f t="shared" si="25"/>
        <v>#REF!</v>
      </c>
      <c r="T46" s="10" t="e">
        <f t="shared" si="25"/>
        <v>#REF!</v>
      </c>
      <c r="U46" s="10" t="e">
        <f t="shared" si="25"/>
        <v>#REF!</v>
      </c>
      <c r="V46" s="10" t="e">
        <f t="shared" si="25"/>
        <v>#REF!</v>
      </c>
    </row>
    <row r="47" spans="1:23">
      <c r="A47">
        <v>20</v>
      </c>
      <c r="B47" s="4" t="e">
        <f t="shared" si="7"/>
        <v>#REF!</v>
      </c>
      <c r="C47" s="10" t="e">
        <f t="shared" si="5"/>
        <v>#REF!</v>
      </c>
      <c r="D47" s="10" t="e">
        <f t="shared" ref="D47:V47" si="26">IF($B47=D$27,$G23,0)</f>
        <v>#REF!</v>
      </c>
      <c r="E47" s="10" t="e">
        <f t="shared" si="26"/>
        <v>#REF!</v>
      </c>
      <c r="F47" s="10" t="e">
        <f t="shared" si="26"/>
        <v>#REF!</v>
      </c>
      <c r="G47" s="10" t="e">
        <f t="shared" si="26"/>
        <v>#REF!</v>
      </c>
      <c r="H47" s="10" t="e">
        <f t="shared" si="26"/>
        <v>#REF!</v>
      </c>
      <c r="I47" s="10" t="e">
        <f t="shared" si="26"/>
        <v>#REF!</v>
      </c>
      <c r="J47" s="10" t="e">
        <f t="shared" si="26"/>
        <v>#REF!</v>
      </c>
      <c r="K47" s="10" t="e">
        <f t="shared" si="26"/>
        <v>#REF!</v>
      </c>
      <c r="L47" s="10" t="e">
        <f t="shared" si="26"/>
        <v>#REF!</v>
      </c>
      <c r="M47" s="10" t="e">
        <f t="shared" si="26"/>
        <v>#REF!</v>
      </c>
      <c r="N47" s="10" t="e">
        <f t="shared" si="26"/>
        <v>#REF!</v>
      </c>
      <c r="O47" s="10" t="e">
        <f t="shared" si="26"/>
        <v>#REF!</v>
      </c>
      <c r="P47" s="10" t="e">
        <f t="shared" si="26"/>
        <v>#REF!</v>
      </c>
      <c r="Q47" s="10" t="e">
        <f t="shared" si="26"/>
        <v>#REF!</v>
      </c>
      <c r="R47" s="10" t="e">
        <f t="shared" si="26"/>
        <v>#REF!</v>
      </c>
      <c r="S47" s="10" t="e">
        <f t="shared" si="26"/>
        <v>#REF!</v>
      </c>
      <c r="T47" s="10" t="e">
        <f t="shared" si="26"/>
        <v>#REF!</v>
      </c>
      <c r="U47" s="10" t="e">
        <f t="shared" si="26"/>
        <v>#REF!</v>
      </c>
      <c r="V47" s="10" t="e">
        <f t="shared" si="26"/>
        <v>#REF!</v>
      </c>
      <c r="W47" t="s">
        <v>213</v>
      </c>
    </row>
    <row r="48" spans="1:23">
      <c r="A48" s="17" t="s">
        <v>150</v>
      </c>
      <c r="C48" s="10" t="e">
        <f>SUM(C28:C47)</f>
        <v>#REF!</v>
      </c>
      <c r="D48" s="10" t="e">
        <f>IF(D27=C27,0,SUM(D28:D47))</f>
        <v>#REF!</v>
      </c>
      <c r="E48" s="10" t="e">
        <f>IF(OR(E27=D27,E27=C27),0,SUM(E28:E47))</f>
        <v>#REF!</v>
      </c>
      <c r="F48" s="10" t="e">
        <f>IF(OR(F27=E27,F27=D27,F27=C27),0,SUM(F28:F47))</f>
        <v>#REF!</v>
      </c>
      <c r="G48" s="10" t="e">
        <f>IF(OR(G27=F27,G27=E27,G27=D27,G27=C27),0,SUM(G28:G47))</f>
        <v>#REF!</v>
      </c>
      <c r="H48" s="10" t="e">
        <f>IF(OR(H27=G27,H27=F27,H27=E27,H27=D27,H27=C27),0,SUM(H28:H47))</f>
        <v>#REF!</v>
      </c>
      <c r="I48" s="10" t="e">
        <f>IF(OR(I27=H27,I27=G27,I27=F27,I27=E27,I27=D27,I27=C27),0,SUM(I28:I47))</f>
        <v>#REF!</v>
      </c>
      <c r="J48" s="10" t="e">
        <f>IF(OR(J27=I27,J27=H27,J27=G27,J27=F27,J27=E27,J27=D27,J27=C27),0,SUM(J28:J47))</f>
        <v>#REF!</v>
      </c>
      <c r="K48" s="10" t="e">
        <f>IF(OR(K27=J27,K27=I27,K27=H27,K27=G27,K27=F27,K27=E27,K27=D27,K27=C27),0,SUM(K28:K47))</f>
        <v>#REF!</v>
      </c>
      <c r="L48" s="10" t="e">
        <f>IF(OR(L27=K27,L27=J27,L27=I27,L27=H27,L27=G27,L27=F27,L27=E27,L27=D27,L27=C27),0,SUM(L28:L47))</f>
        <v>#REF!</v>
      </c>
      <c r="M48" s="10" t="e">
        <f>IF(OR(M27=L27,M27=K27,M27=J27,M27=I27,M27=H27,M27=G27,M27=F27,M27=E27,M27=D27,M27=C27),0,SUM(M28:M47))</f>
        <v>#REF!</v>
      </c>
      <c r="N48" s="10" t="e">
        <f>IF(OR(N27=M27,N27=L27,N27=K27,N27=J27,N27=I27,N27=H27,N27=G27,N27=F27,N27=E27,N27=D27,N27=C27),0,SUM(N28:N47))</f>
        <v>#REF!</v>
      </c>
      <c r="O48" s="10" t="e">
        <f>IF(OR(O27=N27,O27=M27,O27=L27,O27=K27,O27=J27,O27=I27,O27=H27,O27=G27,O27=F27,O27=E27,O27=D27,O27=C27),0,SUM(O28:O47))</f>
        <v>#REF!</v>
      </c>
      <c r="P48" s="10" t="e">
        <f>IF(OR(P27=O27,P27=N27,P27=M27,P27=L27,P27=K27,P27=J27,P27=I27,P27=H27,P27=G27,P27=F27,P27=E27,P27=D27,P27=C27),0,SUM(P28:P47))</f>
        <v>#REF!</v>
      </c>
      <c r="Q48" s="10" t="e">
        <f>IF(OR(Q27=P27,Q27=O27,Q27=N27,Q27=M27,Q27=L27,Q27=K27,Q27=J27,Q27=I27,Q27=H27,Q27=G27,Q27=F27,Q27=E27,Q27=D27,Q27=C27),0,SUM(Q28:Q47))</f>
        <v>#REF!</v>
      </c>
      <c r="R48" s="10" t="e">
        <f>IF(OR(R27=Q27,R27=P27,R27=O27,R27=N27,R27=M27,R27=L27,R27=K27,R27=J27,R27=I27,R27=H27,R27=G27,R27=F27,R27=E27,R27=D27,R27=C27),0,SUM(R28:R47))</f>
        <v>#REF!</v>
      </c>
      <c r="S48" s="10" t="e">
        <f>IF(OR(S27=R27,S27=Q27,S27=P27,S27=O27,S27=N27,S27=M27,S27=L27,S27=K27,S27=J27,S27=I27,S27=H27,S27=G27,S27=F27,S27=E27,S27=D27,S27=C27),0,SUM(S28:S47))</f>
        <v>#REF!</v>
      </c>
      <c r="T48" s="10" t="e">
        <f>IF(OR(T27=S27,T27=R27,T27=Q27,T27=P27,T27=O27,T27=N27,T27=M27,T27=L27,T27=K27,T27=J27,T27=I27,T27=H27,T27=G27,T27=F27,T27=E27,T27=D27,T27=C27),0,SUM(T28:T47))</f>
        <v>#REF!</v>
      </c>
      <c r="U48" s="10" t="e">
        <f>IF(OR(U27=T27,U27=S27,U27=R27,U27=Q27,U27=P27,U27=O27,U27=N27,U27=M27,U27=L27,U27=K27,U27=J27,U27=I27,U27=H27,U27=G27,U27=F27,U27=E27,U27=D27,U27=C27),0,SUM(U28:U47))</f>
        <v>#REF!</v>
      </c>
      <c r="V48" s="10" t="e">
        <f>IF(OR(V27=U27,V27=T27,V27=S27,V27=R27,V27=Q27,V27=P27,V27=O27,V27=N27,V27=M27,V27=L27,V27=K27,V27=J27,V27=I27,V27=H27,V27=G27,V27=F27,V27=E27,V27=D27,V27=C27),0,SUM(V28:V47))</f>
        <v>#REF!</v>
      </c>
      <c r="W48" s="10" t="e">
        <f>SUM(C48:V48)+SUM(R4:V4)</f>
        <v>#REF!</v>
      </c>
    </row>
    <row r="49" spans="1:23">
      <c r="A49" s="17" t="s">
        <v>195</v>
      </c>
      <c r="C49" s="13">
        <f>IF(SUMIF($B$4:$B$23,Calculations!C$27,$J$4:$J$23)*$S$21&lt;0,0,SUMIF($B$4:$B$23,Calculations!C$27,$J$4:$J$23)*$S$21)+IFERROR(VLOOKUP(C27,$C$103:$H$122,6,FALSE),0)</f>
        <v>0</v>
      </c>
      <c r="D49" s="13">
        <f>IF(SUMIF($B$4:$B$23,Calculations!D$27,$J$4:$J$23)*$S$21&lt;0,0,SUMIF($B$4:$B$23,Calculations!D$27,$J$4:$J$23)*$S$21)+IFERROR(VLOOKUP(D27,$C$103:$H$122,6,FALSE),0)</f>
        <v>0</v>
      </c>
      <c r="E49" s="13">
        <f>IF(SUMIF($B$4:$B$23,Calculations!E$27,$J$4:$J$23)*$S$21&lt;0,0,SUMIF($B$4:$B$23,Calculations!E$27,$J$4:$J$23)*$S$21)+IFERROR(VLOOKUP(E27,$C$103:$H$122,6,FALSE),0)</f>
        <v>0</v>
      </c>
      <c r="F49" s="13">
        <f>IF(SUMIF($B$4:$B$23,Calculations!F$27,$J$4:$J$23)*$S$21&lt;0,0,SUMIF($B$4:$B$23,Calculations!F$27,$J$4:$J$23)*$S$21)+IFERROR(VLOOKUP(F27,$C$103:$H$122,6,FALSE),0)</f>
        <v>0</v>
      </c>
      <c r="G49" s="13">
        <f>IF(SUMIF($B$4:$B$23,Calculations!G$27,$J$4:$J$23)*$S$21&lt;0,0,SUMIF($B$4:$B$23,Calculations!G$27,$J$4:$J$23)*$S$21)+IFERROR(VLOOKUP(G27,$C$103:$H$122,6,FALSE),0)</f>
        <v>0</v>
      </c>
      <c r="H49" s="13">
        <f>IF(SUMIF($B$4:$B$23,Calculations!H$27,$J$4:$J$23)*$S$21&lt;0,0,SUMIF($B$4:$B$23,Calculations!H$27,$J$4:$J$23)*$S$21)+IFERROR(VLOOKUP(H27,$C$103:$H$122,6,FALSE),0)</f>
        <v>0</v>
      </c>
      <c r="I49" s="13">
        <f>IF(SUMIF($B$4:$B$23,Calculations!I$27,$J$4:$J$23)*$S$21&lt;0,0,SUMIF($B$4:$B$23,Calculations!I$27,$J$4:$J$23)*$S$21)+IFERROR(VLOOKUP(I27,$C$103:$H$122,6,FALSE),0)</f>
        <v>0</v>
      </c>
      <c r="J49" s="13">
        <f>IF(SUMIF($B$4:$B$23,Calculations!J$27,$J$4:$J$23)*$S$21&lt;0,0,SUMIF($B$4:$B$23,Calculations!J$27,$J$4:$J$23)*$S$21)+IFERROR(VLOOKUP(J27,$C$103:$H$122,6,FALSE),0)</f>
        <v>0</v>
      </c>
      <c r="K49" s="13">
        <f>IF(SUMIF($B$4:$B$23,Calculations!K$27,$J$4:$J$23)*$S$21&lt;0,0,SUMIF($B$4:$B$23,Calculations!K$27,$J$4:$J$23)*$S$21)+IFERROR(VLOOKUP(K27,$C$103:$H$122,6,FALSE),0)</f>
        <v>0</v>
      </c>
      <c r="L49" s="13">
        <f>IF(SUMIF($B$4:$B$23,Calculations!L$27,$J$4:$J$23)*$S$21&lt;0,0,SUMIF($B$4:$B$23,Calculations!L$27,$J$4:$J$23)*$S$21)+IFERROR(VLOOKUP(L27,$C$103:$H$122,6,FALSE),0)</f>
        <v>0</v>
      </c>
      <c r="M49" s="13">
        <f>IF(SUMIF($B$4:$B$23,Calculations!M$27,$J$4:$J$23)*$S$21&lt;0,0,SUMIF($B$4:$B$23,Calculations!M$27,$J$4:$J$23)*$S$21)+IFERROR(VLOOKUP(M27,$C$103:$H$122,6,FALSE),0)</f>
        <v>0</v>
      </c>
      <c r="N49" s="13">
        <f>IF(SUMIF($B$4:$B$23,Calculations!N$27,$J$4:$J$23)*$S$21&lt;0,0,SUMIF($B$4:$B$23,Calculations!N$27,$J$4:$J$23)*$S$21)+IFERROR(VLOOKUP(N27,$C$103:$H$122,6,FALSE),0)</f>
        <v>0</v>
      </c>
      <c r="O49" s="13">
        <f>IF(SUMIF($B$4:$B$23,Calculations!O$27,$J$4:$J$23)*$S$21&lt;0,0,SUMIF($B$4:$B$23,Calculations!O$27,$J$4:$J$23)*$S$21)+IFERROR(VLOOKUP(O27,$C$103:$H$122,6,FALSE),0)</f>
        <v>0</v>
      </c>
      <c r="P49" s="13">
        <f>IF(SUMIF($B$4:$B$23,Calculations!P$27,$J$4:$J$23)*$S$21&lt;0,0,SUMIF($B$4:$B$23,Calculations!P$27,$J$4:$J$23)*$S$21)+IFERROR(VLOOKUP(P27,$C$103:$H$122,6,FALSE),0)</f>
        <v>0</v>
      </c>
      <c r="Q49" s="13">
        <f>IF(SUMIF($B$4:$B$23,Calculations!Q$27,$J$4:$J$23)*$S$21&lt;0,0,SUMIF($B$4:$B$23,Calculations!Q$27,$J$4:$J$23)*$S$21)+IFERROR(VLOOKUP(Q27,$C$103:$H$122,6,FALSE),0)</f>
        <v>0</v>
      </c>
      <c r="R49" s="13">
        <f>IF(SUMIF($B$4:$B$23,Calculations!R$27,$J$4:$J$23)*$S$21&lt;0,0,SUMIF($B$4:$B$23,Calculations!R$27,$J$4:$J$23)*$S$21)+IFERROR(VLOOKUP(R27,$C$103:$H$122,6,FALSE),0)</f>
        <v>0</v>
      </c>
      <c r="S49" s="13">
        <f>IF(SUMIF($B$4:$B$23,Calculations!S$27,$J$4:$J$23)*$S$21&lt;0,0,SUMIF($B$4:$B$23,Calculations!S$27,$J$4:$J$23)*$S$21)+IFERROR(VLOOKUP(S27,$C$103:$H$122,6,FALSE),0)</f>
        <v>0</v>
      </c>
      <c r="T49" s="13">
        <f>IF(SUMIF($B$4:$B$23,Calculations!T$27,$J$4:$J$23)*$S$21&lt;0,0,SUMIF($B$4:$B$23,Calculations!T$27,$J$4:$J$23)*$S$21)+IFERROR(VLOOKUP(T27,$C$103:$H$122,6,FALSE),0)</f>
        <v>0</v>
      </c>
      <c r="U49" s="13">
        <f>IF(SUMIF($B$4:$B$23,Calculations!U$27,$J$4:$J$23)*$S$21&lt;0,0,SUMIF($B$4:$B$23,Calculations!U$27,$J$4:$J$23)*$S$21)+IFERROR(VLOOKUP(U27,$C$103:$H$122,6,FALSE),0)</f>
        <v>0</v>
      </c>
      <c r="V49" s="13">
        <f>IF(SUMIF($B$4:$B$23,Calculations!V$27,$J$4:$J$23)*$S$21&lt;0,0,SUMIF($B$4:$B$23,Calculations!V$27,$J$4:$J$23)*$S$21)+IFERROR(VLOOKUP(V27,$C$103:$H$122,6,FALSE),0)</f>
        <v>0</v>
      </c>
    </row>
    <row r="50" spans="1:23">
      <c r="A50" s="17" t="s">
        <v>153</v>
      </c>
      <c r="C50" s="10" t="e">
        <f>IF(C48-C49&lt;=Console!$AD$3,0,IF(Calculations!C48-C49&lt;=Console!$AD$4,Console!$AE$4+Console!$AF$4*(Calculations!C48-C49-Console!$AC$4),IF(Calculations!C48-C49&lt;=Console!$AD$5,Console!$AE$5+Console!$AF$5*(Calculations!C48-C49-Console!$AC$5),IF(Calculations!C48-C49&lt;=Console!$AD$6,Console!$AE$6+Console!$AF$6*(Calculations!C48-C49-Console!$AC$6),Console!$AE$7+Console!$AF$7*(Calculations!C48-C49-Console!$AC$7)))))</f>
        <v>#REF!</v>
      </c>
      <c r="D50" s="10" t="e">
        <f>IF(D48-D49&lt;=Console!$AD$3,0,IF(Calculations!D48-D49&lt;=Console!$AD$4,Console!$AE$4+Console!$AF$4*(Calculations!D48-D49-Console!$AC$4),IF(Calculations!D48-D49&lt;=Console!$AD$5,Console!$AE$5+Console!$AF$5*(Calculations!D48-D49-Console!$AC$5),IF(Calculations!D48-D49&lt;=Console!$AD$6,Console!$AE$6+Console!$AF$6*(Calculations!D48-D49-Console!$AC$6),Console!$AE$7+Console!$AF$7*(Calculations!D48-D49-Console!$AC$7)))))</f>
        <v>#REF!</v>
      </c>
      <c r="E50" s="10" t="e">
        <f>IF(E48-E49&lt;=Console!$AD$3,0,IF(Calculations!E48-E49&lt;=Console!$AD$4,Console!$AE$4+Console!$AF$4*(Calculations!E48-E49-Console!$AC$4),IF(Calculations!E48-E49&lt;=Console!$AD$5,Console!$AE$5+Console!$AF$5*(Calculations!E48-E49-Console!$AC$5),IF(Calculations!E48-E49&lt;=Console!$AD$6,Console!$AE$6+Console!$AF$6*(Calculations!E48-E49-Console!$AC$6),Console!$AE$7+Console!$AF$7*(Calculations!E48-E49-Console!$AC$7)))))</f>
        <v>#REF!</v>
      </c>
      <c r="F50" s="10" t="e">
        <f>IF(F48-F49&lt;=Console!$AD$3,0,IF(Calculations!F48-F49&lt;=Console!$AD$4,Console!$AE$4+Console!$AF$4*(Calculations!F48-F49-Console!$AC$4),IF(Calculations!F48-F49&lt;=Console!$AD$5,Console!$AE$5+Console!$AF$5*(Calculations!F48-F49-Console!$AC$5),IF(Calculations!F48-F49&lt;=Console!$AD$6,Console!$AE$6+Console!$AF$6*(Calculations!F48-F49-Console!$AC$6),Console!$AE$7+Console!$AF$7*(Calculations!F48-F49-Console!$AC$7)))))</f>
        <v>#REF!</v>
      </c>
      <c r="G50" s="10" t="e">
        <f>IF(G48-G49&lt;=Console!$AD$3,0,IF(Calculations!G48-G49&lt;=Console!$AD$4,Console!$AE$4+Console!$AF$4*(Calculations!G48-G49-Console!$AC$4),IF(Calculations!G48-G49&lt;=Console!$AD$5,Console!$AE$5+Console!$AF$5*(Calculations!G48-G49-Console!$AC$5),IF(Calculations!G48-G49&lt;=Console!$AD$6,Console!$AE$6+Console!$AF$6*(Calculations!G48-G49-Console!$AC$6),Console!$AE$7+Console!$AF$7*(Calculations!G48-G49-Console!$AC$7)))))</f>
        <v>#REF!</v>
      </c>
      <c r="H50" s="10" t="e">
        <f>IF(H48-H49&lt;=Console!$AD$3,0,IF(Calculations!H48-H49&lt;=Console!$AD$4,Console!$AE$4+Console!$AF$4*(Calculations!H48-H49-Console!$AC$4),IF(Calculations!H48-H49&lt;=Console!$AD$5,Console!$AE$5+Console!$AF$5*(Calculations!H48-H49-Console!$AC$5),IF(Calculations!H48-H49&lt;=Console!$AD$6,Console!$AE$6+Console!$AF$6*(Calculations!H48-H49-Console!$AC$6),Console!$AE$7+Console!$AF$7*(Calculations!H48-H49-Console!$AC$7)))))</f>
        <v>#REF!</v>
      </c>
      <c r="I50" s="10" t="e">
        <f>IF(I48-I49&lt;=Console!$AD$3,0,IF(Calculations!I48-I49&lt;=Console!$AD$4,Console!$AE$4+Console!$AF$4*(Calculations!I48-I49-Console!$AC$4),IF(Calculations!I48-I49&lt;=Console!$AD$5,Console!$AE$5+Console!$AF$5*(Calculations!I48-I49-Console!$AC$5),IF(Calculations!I48-I49&lt;=Console!$AD$6,Console!$AE$6+Console!$AF$6*(Calculations!I48-I49-Console!$AC$6),Console!$AE$7+Console!$AF$7*(Calculations!I48-I49-Console!$AC$7)))))</f>
        <v>#REF!</v>
      </c>
      <c r="J50" s="10" t="e">
        <f>IF(J48-J49&lt;=Console!$AD$3,0,IF(Calculations!J48-J49&lt;=Console!$AD$4,Console!$AE$4+Console!$AF$4*(Calculations!J48-J49-Console!$AC$4),IF(Calculations!J48-J49&lt;=Console!$AD$5,Console!$AE$5+Console!$AF$5*(Calculations!J48-J49-Console!$AC$5),IF(Calculations!J48-J49&lt;=Console!$AD$6,Console!$AE$6+Console!$AF$6*(Calculations!J48-J49-Console!$AC$6),Console!$AE$7+Console!$AF$7*(Calculations!J48-J49-Console!$AC$7)))))</f>
        <v>#REF!</v>
      </c>
      <c r="K50" s="10" t="e">
        <f>IF(K48-K49&lt;=Console!$AD$3,0,IF(Calculations!K48-K49&lt;=Console!$AD$4,Console!$AE$4+Console!$AF$4*(Calculations!K48-K49-Console!$AC$4),IF(Calculations!K48-K49&lt;=Console!$AD$5,Console!$AE$5+Console!$AF$5*(Calculations!K48-K49-Console!$AC$5),IF(Calculations!K48-K49&lt;=Console!$AD$6,Console!$AE$6+Console!$AF$6*(Calculations!K48-K49-Console!$AC$6),Console!$AE$7+Console!$AF$7*(Calculations!K48-K49-Console!$AC$7)))))</f>
        <v>#REF!</v>
      </c>
      <c r="L50" s="10" t="e">
        <f>IF(L48-L49&lt;=Console!$AD$3,0,IF(Calculations!L48-L49&lt;=Console!$AD$4,Console!$AE$4+Console!$AF$4*(Calculations!L48-L49-Console!$AC$4),IF(Calculations!L48-L49&lt;=Console!$AD$5,Console!$AE$5+Console!$AF$5*(Calculations!L48-L49-Console!$AC$5),IF(Calculations!L48-L49&lt;=Console!$AD$6,Console!$AE$6+Console!$AF$6*(Calculations!L48-L49-Console!$AC$6),Console!$AE$7+Console!$AF$7*(Calculations!L48-L49-Console!$AC$7)))))</f>
        <v>#REF!</v>
      </c>
      <c r="M50" s="10" t="e">
        <f>IF(M48-M49&lt;=Console!$AD$3,0,IF(Calculations!M48-M49&lt;=Console!$AD$4,Console!$AE$4+Console!$AF$4*(Calculations!M48-M49-Console!$AC$4),IF(Calculations!M48-M49&lt;=Console!$AD$5,Console!$AE$5+Console!$AF$5*(Calculations!M48-M49-Console!$AC$5),IF(Calculations!M48-M49&lt;=Console!$AD$6,Console!$AE$6+Console!$AF$6*(Calculations!M48-M49-Console!$AC$6),Console!$AE$7+Console!$AF$7*(Calculations!M48-M49-Console!$AC$7)))))</f>
        <v>#REF!</v>
      </c>
      <c r="N50" s="10" t="e">
        <f>IF(N48-N49&lt;=Console!$AD$3,0,IF(Calculations!N48-N49&lt;=Console!$AD$4,Console!$AE$4+Console!$AF$4*(Calculations!N48-N49-Console!$AC$4),IF(Calculations!N48-N49&lt;=Console!$AD$5,Console!$AE$5+Console!$AF$5*(Calculations!N48-N49-Console!$AC$5),IF(Calculations!N48-N49&lt;=Console!$AD$6,Console!$AE$6+Console!$AF$6*(Calculations!N48-N49-Console!$AC$6),Console!$AE$7+Console!$AF$7*(Calculations!N48-N49-Console!$AC$7)))))</f>
        <v>#REF!</v>
      </c>
      <c r="O50" s="10" t="e">
        <f>IF(O48-O49&lt;=Console!$AD$3,0,IF(Calculations!O48-O49&lt;=Console!$AD$4,Console!$AE$4+Console!$AF$4*(Calculations!O48-O49-Console!$AC$4),IF(Calculations!O48-O49&lt;=Console!$AD$5,Console!$AE$5+Console!$AF$5*(Calculations!O48-O49-Console!$AC$5),IF(Calculations!O48-O49&lt;=Console!$AD$6,Console!$AE$6+Console!$AF$6*(Calculations!O48-O49-Console!$AC$6),Console!$AE$7+Console!$AF$7*(Calculations!O48-O49-Console!$AC$7)))))</f>
        <v>#REF!</v>
      </c>
      <c r="P50" s="10" t="e">
        <f>IF(P48-P49&lt;=Console!$AD$3,0,IF(Calculations!P48-P49&lt;=Console!$AD$4,Console!$AE$4+Console!$AF$4*(Calculations!P48-P49-Console!$AC$4),IF(Calculations!P48-P49&lt;=Console!$AD$5,Console!$AE$5+Console!$AF$5*(Calculations!P48-P49-Console!$AC$5),IF(Calculations!P48-P49&lt;=Console!$AD$6,Console!$AE$6+Console!$AF$6*(Calculations!P48-P49-Console!$AC$6),Console!$AE$7+Console!$AF$7*(Calculations!P48-P49-Console!$AC$7)))))</f>
        <v>#REF!</v>
      </c>
      <c r="Q50" s="10" t="e">
        <f>IF(Q48-Q49&lt;=Console!$AD$3,0,IF(Calculations!Q48-Q49&lt;=Console!$AD$4,Console!$AE$4+Console!$AF$4*(Calculations!Q48-Q49-Console!$AC$4),IF(Calculations!Q48-Q49&lt;=Console!$AD$5,Console!$AE$5+Console!$AF$5*(Calculations!Q48-Q49-Console!$AC$5),IF(Calculations!Q48-Q49&lt;=Console!$AD$6,Console!$AE$6+Console!$AF$6*(Calculations!Q48-Q49-Console!$AC$6),Console!$AE$7+Console!$AF$7*(Calculations!Q48-Q49-Console!$AC$7)))))</f>
        <v>#REF!</v>
      </c>
      <c r="R50" s="10" t="e">
        <f>IF(R48-R49&lt;=Console!$AD$3,0,IF(Calculations!R48-R49&lt;=Console!$AD$4,Console!$AE$4+Console!$AF$4*(Calculations!R48-R49-Console!$AC$4),IF(Calculations!R48-R49&lt;=Console!$AD$5,Console!$AE$5+Console!$AF$5*(Calculations!R48-R49-Console!$AC$5),IF(Calculations!R48-R49&lt;=Console!$AD$6,Console!$AE$6+Console!$AF$6*(Calculations!R48-R49-Console!$AC$6),Console!$AE$7+Console!$AF$7*(Calculations!R48-R49-Console!$AC$7)))))</f>
        <v>#REF!</v>
      </c>
      <c r="S50" s="10" t="e">
        <f>IF(S48-S49&lt;=Console!$AD$3,0,IF(Calculations!S48-S49&lt;=Console!$AD$4,Console!$AE$4+Console!$AF$4*(Calculations!S48-S49-Console!$AC$4),IF(Calculations!S48-S49&lt;=Console!$AD$5,Console!$AE$5+Console!$AF$5*(Calculations!S48-S49-Console!$AC$5),IF(Calculations!S48-S49&lt;=Console!$AD$6,Console!$AE$6+Console!$AF$6*(Calculations!S48-S49-Console!$AC$6),Console!$AE$7+Console!$AF$7*(Calculations!S48-S49-Console!$AC$7)))))</f>
        <v>#REF!</v>
      </c>
      <c r="T50" s="10" t="e">
        <f>IF(T48-T49&lt;=Console!$AD$3,0,IF(Calculations!T48-T49&lt;=Console!$AD$4,Console!$AE$4+Console!$AF$4*(Calculations!T48-T49-Console!$AC$4),IF(Calculations!T48-T49&lt;=Console!$AD$5,Console!$AE$5+Console!$AF$5*(Calculations!T48-T49-Console!$AC$5),IF(Calculations!T48-T49&lt;=Console!$AD$6,Console!$AE$6+Console!$AF$6*(Calculations!T48-T49-Console!$AC$6),Console!$AE$7+Console!$AF$7*(Calculations!T48-T49-Console!$AC$7)))))</f>
        <v>#REF!</v>
      </c>
      <c r="U50" s="10" t="e">
        <f>IF(U48-U49&lt;=Console!$AD$3,0,IF(Calculations!U48-U49&lt;=Console!$AD$4,Console!$AE$4+Console!$AF$4*(Calculations!U48-U49-Console!$AC$4),IF(Calculations!U48-U49&lt;=Console!$AD$5,Console!$AE$5+Console!$AF$5*(Calculations!U48-U49-Console!$AC$5),IF(Calculations!U48-U49&lt;=Console!$AD$6,Console!$AE$6+Console!$AF$6*(Calculations!U48-U49-Console!$AC$6),Console!$AE$7+Console!$AF$7*(Calculations!U48-U49-Console!$AC$7)))))</f>
        <v>#REF!</v>
      </c>
      <c r="V50" s="10" t="e">
        <f>IF(V48-V49&lt;=Console!$AD$3,0,IF(Calculations!V48-V49&lt;=Console!$AD$4,Console!$AE$4+Console!$AF$4*(Calculations!V48-V49-Console!$AC$4),IF(Calculations!V48-V49&lt;=Console!$AD$5,Console!$AE$5+Console!$AF$5*(Calculations!V48-V49-Console!$AC$5),IF(Calculations!V48-V49&lt;=Console!$AD$6,Console!$AE$6+Console!$AF$6*(Calculations!V48-V49-Console!$AC$6),Console!$AE$7+Console!$AF$7*(Calculations!V48-V49-Console!$AC$7)))))</f>
        <v>#REF!</v>
      </c>
    </row>
    <row r="51" spans="1:23">
      <c r="A51" t="s">
        <v>154</v>
      </c>
      <c r="C51" s="10" t="e">
        <f>Console!$AH$3*Calculations!C48</f>
        <v>#REF!</v>
      </c>
      <c r="D51" s="10" t="e">
        <f>Console!$AH$3*Calculations!D48</f>
        <v>#REF!</v>
      </c>
      <c r="E51" s="10" t="e">
        <f>Console!$AH$3*Calculations!E48</f>
        <v>#REF!</v>
      </c>
      <c r="F51" s="10" t="e">
        <f>Console!$AH$3*Calculations!F48</f>
        <v>#REF!</v>
      </c>
      <c r="G51" s="10" t="e">
        <f>Console!$AH$3*Calculations!G48</f>
        <v>#REF!</v>
      </c>
      <c r="H51" s="10" t="e">
        <f>Console!$AH$3*Calculations!H48</f>
        <v>#REF!</v>
      </c>
      <c r="I51" s="10" t="e">
        <f>Console!$AH$3*Calculations!I48</f>
        <v>#REF!</v>
      </c>
      <c r="J51" s="10" t="e">
        <f>Console!$AH$3*Calculations!J48</f>
        <v>#REF!</v>
      </c>
      <c r="K51" s="10" t="e">
        <f>Console!$AH$3*Calculations!K48</f>
        <v>#REF!</v>
      </c>
      <c r="L51" s="10" t="e">
        <f>Console!$AH$3*Calculations!L48</f>
        <v>#REF!</v>
      </c>
      <c r="M51" s="10" t="e">
        <f>Console!$AH$3*Calculations!M48</f>
        <v>#REF!</v>
      </c>
      <c r="N51" s="10" t="e">
        <f>Console!$AH$3*Calculations!N48</f>
        <v>#REF!</v>
      </c>
      <c r="O51" s="10" t="e">
        <f>Console!$AH$3*Calculations!O48</f>
        <v>#REF!</v>
      </c>
      <c r="P51" s="10" t="e">
        <f>Console!$AH$3*Calculations!P48</f>
        <v>#REF!</v>
      </c>
      <c r="Q51" s="10" t="e">
        <f>Console!$AH$3*Calculations!Q48</f>
        <v>#REF!</v>
      </c>
      <c r="R51" s="10" t="e">
        <f>Console!$AH$3*Calculations!R48</f>
        <v>#REF!</v>
      </c>
      <c r="S51" s="10" t="e">
        <f>Console!$AH$3*Calculations!S48</f>
        <v>#REF!</v>
      </c>
      <c r="T51" s="10" t="e">
        <f>Console!$AH$3*Calculations!T48</f>
        <v>#REF!</v>
      </c>
      <c r="U51" s="10" t="e">
        <f>Console!$AH$3*Calculations!U48</f>
        <v>#REF!</v>
      </c>
      <c r="V51" s="10" t="e">
        <f>Console!$AH$3*Calculations!V48</f>
        <v>#REF!</v>
      </c>
    </row>
    <row r="52" spans="1:23">
      <c r="A52" t="s">
        <v>155</v>
      </c>
      <c r="C52" s="10" t="e">
        <f t="shared" ref="C52:V52" si="27">C48-C50-C51</f>
        <v>#REF!</v>
      </c>
      <c r="D52" s="10" t="e">
        <f t="shared" si="27"/>
        <v>#REF!</v>
      </c>
      <c r="E52" s="10" t="e">
        <f t="shared" si="27"/>
        <v>#REF!</v>
      </c>
      <c r="F52" s="10" t="e">
        <f t="shared" si="27"/>
        <v>#REF!</v>
      </c>
      <c r="G52" s="10" t="e">
        <f t="shared" si="27"/>
        <v>#REF!</v>
      </c>
      <c r="H52" s="10" t="e">
        <f t="shared" si="27"/>
        <v>#REF!</v>
      </c>
      <c r="I52" s="10" t="e">
        <f t="shared" si="27"/>
        <v>#REF!</v>
      </c>
      <c r="J52" s="10" t="e">
        <f t="shared" si="27"/>
        <v>#REF!</v>
      </c>
      <c r="K52" s="10" t="e">
        <f t="shared" si="27"/>
        <v>#REF!</v>
      </c>
      <c r="L52" s="10" t="e">
        <f t="shared" si="27"/>
        <v>#REF!</v>
      </c>
      <c r="M52" s="10" t="e">
        <f t="shared" si="27"/>
        <v>#REF!</v>
      </c>
      <c r="N52" s="10" t="e">
        <f t="shared" si="27"/>
        <v>#REF!</v>
      </c>
      <c r="O52" s="10" t="e">
        <f t="shared" si="27"/>
        <v>#REF!</v>
      </c>
      <c r="P52" s="10" t="e">
        <f t="shared" si="27"/>
        <v>#REF!</v>
      </c>
      <c r="Q52" s="10" t="e">
        <f t="shared" si="27"/>
        <v>#REF!</v>
      </c>
      <c r="R52" s="10" t="e">
        <f t="shared" si="27"/>
        <v>#REF!</v>
      </c>
      <c r="S52" s="10" t="e">
        <f t="shared" si="27"/>
        <v>#REF!</v>
      </c>
      <c r="T52" s="10" t="e">
        <f t="shared" si="27"/>
        <v>#REF!</v>
      </c>
      <c r="U52" s="10" t="e">
        <f t="shared" si="27"/>
        <v>#REF!</v>
      </c>
      <c r="V52" s="10" t="e">
        <f t="shared" si="27"/>
        <v>#REF!</v>
      </c>
    </row>
    <row r="53" spans="1:23">
      <c r="A53" s="17" t="s">
        <v>342</v>
      </c>
      <c r="C53" t="e">
        <f>IF(C48&gt;0,C49,0)</f>
        <v>#REF!</v>
      </c>
      <c r="D53" t="e">
        <f t="shared" ref="D53:V53" si="28">IF(D48&gt;0,D49,0)</f>
        <v>#REF!</v>
      </c>
      <c r="E53" t="e">
        <f t="shared" si="28"/>
        <v>#REF!</v>
      </c>
      <c r="F53" t="e">
        <f t="shared" si="28"/>
        <v>#REF!</v>
      </c>
      <c r="G53" t="e">
        <f t="shared" si="28"/>
        <v>#REF!</v>
      </c>
      <c r="H53" t="e">
        <f t="shared" si="28"/>
        <v>#REF!</v>
      </c>
      <c r="I53" t="e">
        <f t="shared" si="28"/>
        <v>#REF!</v>
      </c>
      <c r="J53" t="e">
        <f t="shared" si="28"/>
        <v>#REF!</v>
      </c>
      <c r="K53" t="e">
        <f t="shared" si="28"/>
        <v>#REF!</v>
      </c>
      <c r="L53" t="e">
        <f t="shared" si="28"/>
        <v>#REF!</v>
      </c>
      <c r="M53" t="e">
        <f t="shared" si="28"/>
        <v>#REF!</v>
      </c>
      <c r="N53" t="e">
        <f t="shared" si="28"/>
        <v>#REF!</v>
      </c>
      <c r="O53" t="e">
        <f t="shared" si="28"/>
        <v>#REF!</v>
      </c>
      <c r="P53" t="e">
        <f t="shared" si="28"/>
        <v>#REF!</v>
      </c>
      <c r="Q53" t="e">
        <f t="shared" si="28"/>
        <v>#REF!</v>
      </c>
      <c r="R53" t="e">
        <f t="shared" si="28"/>
        <v>#REF!</v>
      </c>
      <c r="S53" t="e">
        <f t="shared" si="28"/>
        <v>#REF!</v>
      </c>
      <c r="T53" t="e">
        <f t="shared" si="28"/>
        <v>#REF!</v>
      </c>
      <c r="U53" t="e">
        <f t="shared" si="28"/>
        <v>#REF!</v>
      </c>
      <c r="V53" t="e">
        <f t="shared" si="28"/>
        <v>#REF!</v>
      </c>
    </row>
    <row r="56" spans="1:23">
      <c r="A56" t="s">
        <v>145</v>
      </c>
      <c r="C56">
        <v>1</v>
      </c>
      <c r="D56">
        <v>2</v>
      </c>
      <c r="E56">
        <v>3</v>
      </c>
      <c r="F56">
        <v>4</v>
      </c>
      <c r="G56">
        <v>5</v>
      </c>
      <c r="H56">
        <v>6</v>
      </c>
      <c r="I56">
        <v>7</v>
      </c>
      <c r="J56">
        <v>8</v>
      </c>
      <c r="K56">
        <v>9</v>
      </c>
      <c r="L56">
        <v>10</v>
      </c>
      <c r="M56">
        <v>11</v>
      </c>
      <c r="N56">
        <v>12</v>
      </c>
      <c r="O56">
        <v>13</v>
      </c>
      <c r="P56">
        <v>14</v>
      </c>
      <c r="Q56">
        <v>15</v>
      </c>
      <c r="R56">
        <v>16</v>
      </c>
      <c r="S56">
        <v>17</v>
      </c>
      <c r="T56">
        <v>18</v>
      </c>
      <c r="U56">
        <v>19</v>
      </c>
      <c r="V56">
        <v>20</v>
      </c>
      <c r="W56" t="s">
        <v>156</v>
      </c>
    </row>
    <row r="57" spans="1:23">
      <c r="B57">
        <v>1</v>
      </c>
      <c r="C57" s="13">
        <f t="shared" ref="C57:L61" si="29">IFERROR(HLOOKUP($B57,C$26:C$52,27,FALSE),0)</f>
        <v>0</v>
      </c>
      <c r="D57" s="13">
        <f t="shared" si="29"/>
        <v>0</v>
      </c>
      <c r="E57" s="13">
        <f t="shared" si="29"/>
        <v>0</v>
      </c>
      <c r="F57" s="13">
        <f t="shared" si="29"/>
        <v>0</v>
      </c>
      <c r="G57" s="13">
        <f t="shared" si="29"/>
        <v>0</v>
      </c>
      <c r="H57" s="13">
        <f t="shared" si="29"/>
        <v>0</v>
      </c>
      <c r="I57" s="13">
        <f t="shared" si="29"/>
        <v>0</v>
      </c>
      <c r="J57" s="13">
        <f t="shared" si="29"/>
        <v>0</v>
      </c>
      <c r="K57" s="13">
        <f t="shared" si="29"/>
        <v>0</v>
      </c>
      <c r="L57" s="13">
        <f t="shared" si="29"/>
        <v>0</v>
      </c>
      <c r="M57" s="13">
        <f t="shared" ref="M57:V61" si="30">IFERROR(HLOOKUP($B57,M$26:M$52,27,FALSE),0)</f>
        <v>0</v>
      </c>
      <c r="N57" s="13">
        <f t="shared" si="30"/>
        <v>0</v>
      </c>
      <c r="O57" s="13">
        <f t="shared" si="30"/>
        <v>0</v>
      </c>
      <c r="P57" s="13">
        <f t="shared" si="30"/>
        <v>0</v>
      </c>
      <c r="Q57" s="13">
        <f t="shared" si="30"/>
        <v>0</v>
      </c>
      <c r="R57" s="13">
        <f t="shared" si="30"/>
        <v>0</v>
      </c>
      <c r="S57" s="13">
        <f t="shared" si="30"/>
        <v>0</v>
      </c>
      <c r="T57" s="13">
        <f t="shared" si="30"/>
        <v>0</v>
      </c>
      <c r="U57" s="13">
        <f t="shared" si="30"/>
        <v>0</v>
      </c>
      <c r="V57" s="13">
        <f t="shared" si="30"/>
        <v>0</v>
      </c>
      <c r="W57" s="13">
        <f>SUM(C57:V57)+R4</f>
        <v>0</v>
      </c>
    </row>
    <row r="58" spans="1:23">
      <c r="B58">
        <v>2</v>
      </c>
      <c r="C58" s="13">
        <f t="shared" si="29"/>
        <v>0</v>
      </c>
      <c r="D58" s="13">
        <f t="shared" si="29"/>
        <v>0</v>
      </c>
      <c r="E58" s="13">
        <f t="shared" si="29"/>
        <v>0</v>
      </c>
      <c r="F58" s="13">
        <f t="shared" si="29"/>
        <v>0</v>
      </c>
      <c r="G58" s="13">
        <f t="shared" si="29"/>
        <v>0</v>
      </c>
      <c r="H58" s="13">
        <f t="shared" si="29"/>
        <v>0</v>
      </c>
      <c r="I58" s="13">
        <f t="shared" si="29"/>
        <v>0</v>
      </c>
      <c r="J58" s="13">
        <f t="shared" si="29"/>
        <v>0</v>
      </c>
      <c r="K58" s="13">
        <f t="shared" si="29"/>
        <v>0</v>
      </c>
      <c r="L58" s="13">
        <f t="shared" si="29"/>
        <v>0</v>
      </c>
      <c r="M58" s="13">
        <f t="shared" si="30"/>
        <v>0</v>
      </c>
      <c r="N58" s="13">
        <f t="shared" si="30"/>
        <v>0</v>
      </c>
      <c r="O58" s="13">
        <f t="shared" si="30"/>
        <v>0</v>
      </c>
      <c r="P58" s="13">
        <f t="shared" si="30"/>
        <v>0</v>
      </c>
      <c r="Q58" s="13">
        <f t="shared" si="30"/>
        <v>0</v>
      </c>
      <c r="R58" s="13">
        <f t="shared" si="30"/>
        <v>0</v>
      </c>
      <c r="S58" s="13">
        <f t="shared" si="30"/>
        <v>0</v>
      </c>
      <c r="T58" s="13">
        <f t="shared" si="30"/>
        <v>0</v>
      </c>
      <c r="U58" s="13">
        <f t="shared" si="30"/>
        <v>0</v>
      </c>
      <c r="V58" s="13">
        <f t="shared" si="30"/>
        <v>0</v>
      </c>
      <c r="W58" s="13">
        <f>SUM(C58:V58)+S4</f>
        <v>0</v>
      </c>
    </row>
    <row r="59" spans="1:23">
      <c r="B59">
        <v>3</v>
      </c>
      <c r="C59" s="13">
        <f t="shared" si="29"/>
        <v>0</v>
      </c>
      <c r="D59" s="13">
        <f t="shared" si="29"/>
        <v>0</v>
      </c>
      <c r="E59" s="13">
        <f t="shared" si="29"/>
        <v>0</v>
      </c>
      <c r="F59" s="13">
        <f t="shared" si="29"/>
        <v>0</v>
      </c>
      <c r="G59" s="13">
        <f t="shared" si="29"/>
        <v>0</v>
      </c>
      <c r="H59" s="13">
        <f t="shared" si="29"/>
        <v>0</v>
      </c>
      <c r="I59" s="13">
        <f t="shared" si="29"/>
        <v>0</v>
      </c>
      <c r="J59" s="13">
        <f t="shared" si="29"/>
        <v>0</v>
      </c>
      <c r="K59" s="13">
        <f t="shared" si="29"/>
        <v>0</v>
      </c>
      <c r="L59" s="13">
        <f t="shared" si="29"/>
        <v>0</v>
      </c>
      <c r="M59" s="13">
        <f t="shared" si="30"/>
        <v>0</v>
      </c>
      <c r="N59" s="13">
        <f t="shared" si="30"/>
        <v>0</v>
      </c>
      <c r="O59" s="13">
        <f t="shared" si="30"/>
        <v>0</v>
      </c>
      <c r="P59" s="13">
        <f t="shared" si="30"/>
        <v>0</v>
      </c>
      <c r="Q59" s="13">
        <f t="shared" si="30"/>
        <v>0</v>
      </c>
      <c r="R59" s="13">
        <f t="shared" si="30"/>
        <v>0</v>
      </c>
      <c r="S59" s="13">
        <f t="shared" si="30"/>
        <v>0</v>
      </c>
      <c r="T59" s="13">
        <f t="shared" si="30"/>
        <v>0</v>
      </c>
      <c r="U59" s="13">
        <f t="shared" si="30"/>
        <v>0</v>
      </c>
      <c r="V59" s="13">
        <f t="shared" si="30"/>
        <v>0</v>
      </c>
      <c r="W59" s="13">
        <f>SUM(C59:V59)+T4</f>
        <v>0</v>
      </c>
    </row>
    <row r="60" spans="1:23">
      <c r="B60">
        <v>4</v>
      </c>
      <c r="C60" s="13">
        <f t="shared" si="29"/>
        <v>0</v>
      </c>
      <c r="D60" s="13">
        <f t="shared" si="29"/>
        <v>0</v>
      </c>
      <c r="E60" s="13">
        <f t="shared" si="29"/>
        <v>0</v>
      </c>
      <c r="F60" s="13">
        <f t="shared" si="29"/>
        <v>0</v>
      </c>
      <c r="G60" s="13">
        <f t="shared" si="29"/>
        <v>0</v>
      </c>
      <c r="H60" s="13">
        <f t="shared" si="29"/>
        <v>0</v>
      </c>
      <c r="I60" s="13">
        <f t="shared" si="29"/>
        <v>0</v>
      </c>
      <c r="J60" s="13">
        <f t="shared" si="29"/>
        <v>0</v>
      </c>
      <c r="K60" s="13">
        <f t="shared" si="29"/>
        <v>0</v>
      </c>
      <c r="L60" s="13">
        <f t="shared" si="29"/>
        <v>0</v>
      </c>
      <c r="M60" s="13">
        <f t="shared" si="30"/>
        <v>0</v>
      </c>
      <c r="N60" s="13">
        <f t="shared" si="30"/>
        <v>0</v>
      </c>
      <c r="O60" s="13">
        <f t="shared" si="30"/>
        <v>0</v>
      </c>
      <c r="P60" s="13">
        <f t="shared" si="30"/>
        <v>0</v>
      </c>
      <c r="Q60" s="13">
        <f t="shared" si="30"/>
        <v>0</v>
      </c>
      <c r="R60" s="13">
        <f t="shared" si="30"/>
        <v>0</v>
      </c>
      <c r="S60" s="13">
        <f t="shared" si="30"/>
        <v>0</v>
      </c>
      <c r="T60" s="13">
        <f t="shared" si="30"/>
        <v>0</v>
      </c>
      <c r="U60" s="13">
        <f t="shared" si="30"/>
        <v>0</v>
      </c>
      <c r="V60" s="13">
        <f t="shared" si="30"/>
        <v>0</v>
      </c>
      <c r="W60" s="13">
        <f>SUM(C60:V60)+U4</f>
        <v>0</v>
      </c>
    </row>
    <row r="61" spans="1:23">
      <c r="B61">
        <v>5</v>
      </c>
      <c r="C61" s="13">
        <f t="shared" si="29"/>
        <v>0</v>
      </c>
      <c r="D61" s="13">
        <f t="shared" si="29"/>
        <v>0</v>
      </c>
      <c r="E61" s="13">
        <f t="shared" si="29"/>
        <v>0</v>
      </c>
      <c r="F61" s="13">
        <f t="shared" si="29"/>
        <v>0</v>
      </c>
      <c r="G61" s="13">
        <f t="shared" si="29"/>
        <v>0</v>
      </c>
      <c r="H61" s="13">
        <f t="shared" si="29"/>
        <v>0</v>
      </c>
      <c r="I61" s="13">
        <f t="shared" si="29"/>
        <v>0</v>
      </c>
      <c r="J61" s="13">
        <f t="shared" si="29"/>
        <v>0</v>
      </c>
      <c r="K61" s="13">
        <f t="shared" si="29"/>
        <v>0</v>
      </c>
      <c r="L61" s="13">
        <f t="shared" si="29"/>
        <v>0</v>
      </c>
      <c r="M61" s="13">
        <f t="shared" si="30"/>
        <v>0</v>
      </c>
      <c r="N61" s="13">
        <f t="shared" si="30"/>
        <v>0</v>
      </c>
      <c r="O61" s="13">
        <f t="shared" si="30"/>
        <v>0</v>
      </c>
      <c r="P61" s="13">
        <f t="shared" si="30"/>
        <v>0</v>
      </c>
      <c r="Q61" s="13">
        <f t="shared" si="30"/>
        <v>0</v>
      </c>
      <c r="R61" s="13">
        <f t="shared" si="30"/>
        <v>0</v>
      </c>
      <c r="S61" s="13">
        <f t="shared" si="30"/>
        <v>0</v>
      </c>
      <c r="T61" s="13">
        <f t="shared" si="30"/>
        <v>0</v>
      </c>
      <c r="U61" s="13">
        <f t="shared" si="30"/>
        <v>0</v>
      </c>
      <c r="V61" s="13">
        <f t="shared" si="30"/>
        <v>0</v>
      </c>
      <c r="W61" s="13">
        <f>SUM(C61:V61)+V4</f>
        <v>0</v>
      </c>
    </row>
    <row r="63" spans="1:23">
      <c r="A63" t="s">
        <v>157</v>
      </c>
      <c r="C63" t="s">
        <v>169</v>
      </c>
      <c r="D63" t="s">
        <v>170</v>
      </c>
      <c r="E63" t="s">
        <v>171</v>
      </c>
      <c r="G63" t="s">
        <v>341</v>
      </c>
    </row>
    <row r="64" spans="1:23">
      <c r="A64" t="s">
        <v>62</v>
      </c>
      <c r="B64">
        <v>1</v>
      </c>
      <c r="C64" s="13">
        <f>Input!F84*(1+Console!$AO$3)*12</f>
        <v>0</v>
      </c>
      <c r="D64">
        <f>SUM(Input!$F$87:$F$98)*12</f>
        <v>0</v>
      </c>
      <c r="E64" s="10">
        <f>MAX(D64,C64)</f>
        <v>0</v>
      </c>
      <c r="G64" s="13">
        <f>SUMIF($C$26:$V$26,B64,$C$53:$V$53)</f>
        <v>0</v>
      </c>
    </row>
    <row r="65" spans="1:16">
      <c r="B65">
        <v>2</v>
      </c>
      <c r="C65" s="10">
        <f>Input!H84*(1+Console!$AO$3)*12</f>
        <v>0</v>
      </c>
      <c r="D65">
        <f>SUM(Input!$H$87:$H$98)*12</f>
        <v>0</v>
      </c>
      <c r="E65" s="10">
        <f>MAX(D65,C65)</f>
        <v>0</v>
      </c>
      <c r="G65" s="13">
        <f t="shared" ref="G65:G68" si="31">SUMIF($C$26:$V$26,B65,$C$53:$V$53)</f>
        <v>0</v>
      </c>
    </row>
    <row r="66" spans="1:16">
      <c r="B66">
        <v>3</v>
      </c>
      <c r="C66" s="10">
        <f>Input!J84*(1+Console!$AO$3)*12</f>
        <v>0</v>
      </c>
      <c r="D66">
        <f>SUM(Input!$J$87:$J$98)*12</f>
        <v>0</v>
      </c>
      <c r="E66" s="10">
        <f>MAX(D66,C66)</f>
        <v>0</v>
      </c>
      <c r="G66" s="13">
        <f t="shared" si="31"/>
        <v>0</v>
      </c>
    </row>
    <row r="67" spans="1:16">
      <c r="B67">
        <v>4</v>
      </c>
      <c r="C67" s="10">
        <f>Input!L84*(1+Console!$AO$3)*12</f>
        <v>0</v>
      </c>
      <c r="D67">
        <f>SUM(Input!$L$87:$L$98)*12</f>
        <v>0</v>
      </c>
      <c r="E67" s="10">
        <f>MAX(D67,C67)</f>
        <v>0</v>
      </c>
      <c r="G67" s="13">
        <f t="shared" si="31"/>
        <v>0</v>
      </c>
    </row>
    <row r="68" spans="1:16">
      <c r="B68">
        <v>5</v>
      </c>
      <c r="C68" s="10">
        <f>Input!N84*(1+Console!$AO$3)*12</f>
        <v>0</v>
      </c>
      <c r="D68">
        <f>SUM(Input!$N$87:$N$98)*12</f>
        <v>0</v>
      </c>
      <c r="E68" s="10">
        <f>MAX(D68,C68)</f>
        <v>0</v>
      </c>
      <c r="G68" s="13">
        <f t="shared" si="31"/>
        <v>0</v>
      </c>
    </row>
    <row r="70" spans="1:16">
      <c r="C70" t="s">
        <v>146</v>
      </c>
      <c r="D70" t="s">
        <v>295</v>
      </c>
      <c r="E70" t="s">
        <v>174</v>
      </c>
      <c r="F70" t="s">
        <v>175</v>
      </c>
      <c r="G70" t="s">
        <v>176</v>
      </c>
      <c r="H70" t="s">
        <v>100</v>
      </c>
      <c r="I70" t="s">
        <v>179</v>
      </c>
      <c r="J70" t="s">
        <v>101</v>
      </c>
      <c r="K70" t="s">
        <v>180</v>
      </c>
      <c r="L70" t="s">
        <v>177</v>
      </c>
      <c r="M70" t="s">
        <v>178</v>
      </c>
      <c r="N70" t="s">
        <v>186</v>
      </c>
      <c r="O70" t="s">
        <v>291</v>
      </c>
      <c r="P70" t="s">
        <v>292</v>
      </c>
    </row>
    <row r="71" spans="1:16">
      <c r="A71" t="s">
        <v>173</v>
      </c>
      <c r="B71">
        <v>1</v>
      </c>
      <c r="C71">
        <f>Input!D107</f>
        <v>0</v>
      </c>
      <c r="D71">
        <f>Input!F107</f>
        <v>0</v>
      </c>
      <c r="E71">
        <f>Input!H107</f>
        <v>0</v>
      </c>
      <c r="F71">
        <f>Input!J107</f>
        <v>0</v>
      </c>
      <c r="G71">
        <f>Input!L107</f>
        <v>0</v>
      </c>
      <c r="H71">
        <f>IF(C71=$H$70,Console!$AV$9*12,0)</f>
        <v>0</v>
      </c>
      <c r="I71">
        <f>Input!N107</f>
        <v>0</v>
      </c>
      <c r="J71">
        <f>IF(C71=$J$70,HLOOKUP(D71,$C$27:$V$52,22,FALSE)-HLOOKUP(D71,$C$27:$V$52,23,FALSE),0)</f>
        <v>0</v>
      </c>
      <c r="K71">
        <f>VLOOKUP(J71,Console!$BA$4:$BB$23,2,TRUE)</f>
        <v>0</v>
      </c>
      <c r="L71">
        <f>IFERROR(VLOOKUP(C71,Console!$AT$4:$AV$12,3,FALSE)*MAX(E71:F71)*VLOOKUP(C71,Console!$AT$4:$AV$12,2,FALSE),0)*12</f>
        <v>0</v>
      </c>
      <c r="M71">
        <f>IFERROR(IF(I71="Yes",0,IF(Console!$AQ$3=Console!$AQ$15,MAX(L71,G71*12,K71*J71,H71),IF(G71&gt;0,G71*12,MAX(L71,G71*12,K71*J71,H71)))),0)</f>
        <v>0</v>
      </c>
      <c r="N71">
        <f>IF(I71="Yes",0,E71)</f>
        <v>0</v>
      </c>
      <c r="O71">
        <f>MAX(E71,F71,P71)</f>
        <v>0</v>
      </c>
      <c r="P71">
        <f>G71/(Console!$AV$5*Console!$AU$5)</f>
        <v>0</v>
      </c>
    </row>
    <row r="72" spans="1:16">
      <c r="B72">
        <v>2</v>
      </c>
      <c r="C72">
        <f>Input!D108</f>
        <v>0</v>
      </c>
      <c r="D72">
        <f>Input!F108</f>
        <v>0</v>
      </c>
      <c r="E72">
        <f>Input!H108</f>
        <v>0</v>
      </c>
      <c r="F72">
        <f>Input!J108</f>
        <v>0</v>
      </c>
      <c r="G72">
        <f>Input!L108</f>
        <v>0</v>
      </c>
      <c r="H72">
        <f>IF(C72=$H$70,Console!$AV$9*12,0)</f>
        <v>0</v>
      </c>
      <c r="I72">
        <f>Input!N108</f>
        <v>0</v>
      </c>
      <c r="J72">
        <f t="shared" ref="J72:J95" si="32">IF(C72=$J$70,HLOOKUP(D72,$C$27:$V$52,22,FALSE)-HLOOKUP(D72,$C$27:$V$52,23,FALSE),0)</f>
        <v>0</v>
      </c>
      <c r="K72">
        <f>VLOOKUP(J72,Console!$BA$4:$BB$23,2,TRUE)</f>
        <v>0</v>
      </c>
      <c r="L72">
        <f>IFERROR(VLOOKUP(C72,Console!$AT$4:$AV$12,3,FALSE)*MAX(E72:F72)*VLOOKUP(C72,Console!$AT$4:$AV$12,2,FALSE),0)*12</f>
        <v>0</v>
      </c>
      <c r="M72">
        <f>IFERROR(IF(I72="Yes",0,IF(Console!$AQ$3=Console!$AQ$15,MAX(L72,G72*12,K72*J72,H72),IF(G72&gt;0,G72*12,MAX(L72,G72*12,K72*J72,H72)))),0)</f>
        <v>0</v>
      </c>
      <c r="N72">
        <f t="shared" ref="N72:N95" si="33">IF(I72="Yes",0,E72)</f>
        <v>0</v>
      </c>
      <c r="O72">
        <f t="shared" ref="O72:O95" si="34">MAX(E72,F72,P72)</f>
        <v>0</v>
      </c>
      <c r="P72">
        <f>G72/(Console!$AV$5*Console!$AU$5)</f>
        <v>0</v>
      </c>
    </row>
    <row r="73" spans="1:16">
      <c r="B73">
        <v>3</v>
      </c>
      <c r="C73">
        <f>Input!D109</f>
        <v>0</v>
      </c>
      <c r="D73">
        <f>Input!F109</f>
        <v>0</v>
      </c>
      <c r="E73">
        <f>Input!H109</f>
        <v>0</v>
      </c>
      <c r="F73">
        <f>Input!J109</f>
        <v>0</v>
      </c>
      <c r="G73">
        <f>Input!L109</f>
        <v>0</v>
      </c>
      <c r="H73">
        <f>IF(C73=$H$70,Console!$AV$9*12,0)</f>
        <v>0</v>
      </c>
      <c r="I73">
        <f>Input!N109</f>
        <v>0</v>
      </c>
      <c r="J73">
        <f t="shared" si="32"/>
        <v>0</v>
      </c>
      <c r="K73">
        <f>VLOOKUP(J73,Console!$BA$4:$BB$23,2,TRUE)</f>
        <v>0</v>
      </c>
      <c r="L73">
        <f>IFERROR(VLOOKUP(C73,Console!$AT$4:$AV$12,3,FALSE)*MAX(E73:F73)*VLOOKUP(C73,Console!$AT$4:$AV$12,2,FALSE),0)*12</f>
        <v>0</v>
      </c>
      <c r="M73">
        <f>IFERROR(IF(I73="Yes",0,IF(Console!$AQ$3=Console!$AQ$15,MAX(L73,G73*12,K73*J73,H73),IF(G73&gt;0,G73*12,MAX(L73,G73*12,K73*J73,H73)))),0)</f>
        <v>0</v>
      </c>
      <c r="N73">
        <f t="shared" si="33"/>
        <v>0</v>
      </c>
      <c r="O73">
        <f t="shared" si="34"/>
        <v>0</v>
      </c>
      <c r="P73">
        <f>G73/(Console!$AV$5*Console!$AU$5)</f>
        <v>0</v>
      </c>
    </row>
    <row r="74" spans="1:16">
      <c r="B74">
        <v>4</v>
      </c>
      <c r="C74">
        <f>Input!D110</f>
        <v>0</v>
      </c>
      <c r="D74">
        <f>Input!F110</f>
        <v>0</v>
      </c>
      <c r="E74">
        <f>Input!H110</f>
        <v>0</v>
      </c>
      <c r="F74">
        <f>Input!J110</f>
        <v>0</v>
      </c>
      <c r="G74">
        <f>Input!L110</f>
        <v>0</v>
      </c>
      <c r="H74">
        <f>IF(C74=$H$70,Console!$AV$9*12,0)</f>
        <v>0</v>
      </c>
      <c r="I74">
        <f>Input!N110</f>
        <v>0</v>
      </c>
      <c r="J74">
        <f t="shared" si="32"/>
        <v>0</v>
      </c>
      <c r="K74">
        <f>VLOOKUP(J74,Console!$BA$4:$BB$23,2,TRUE)</f>
        <v>0</v>
      </c>
      <c r="L74">
        <f>IFERROR(VLOOKUP(C74,Console!$AT$4:$AV$12,3,FALSE)*MAX(E74:F74)*VLOOKUP(C74,Console!$AT$4:$AV$12,2,FALSE),0)*12</f>
        <v>0</v>
      </c>
      <c r="M74">
        <f>IFERROR(IF(I74="Yes",0,IF(Console!$AQ$3=Console!$AQ$15,MAX(L74,G74*12,K74*J74,H74),IF(G74&gt;0,G74*12,MAX(L74,G74*12,K74*J74,H74)))),0)</f>
        <v>0</v>
      </c>
      <c r="N74">
        <f t="shared" si="33"/>
        <v>0</v>
      </c>
      <c r="O74">
        <f t="shared" si="34"/>
        <v>0</v>
      </c>
      <c r="P74">
        <f>G74/(Console!$AV$5*Console!$AU$5)</f>
        <v>0</v>
      </c>
    </row>
    <row r="75" spans="1:16">
      <c r="B75">
        <v>5</v>
      </c>
      <c r="C75">
        <f>Input!D111</f>
        <v>0</v>
      </c>
      <c r="D75">
        <f>Input!F111</f>
        <v>0</v>
      </c>
      <c r="E75">
        <f>Input!H111</f>
        <v>0</v>
      </c>
      <c r="F75">
        <f>Input!J111</f>
        <v>0</v>
      </c>
      <c r="G75">
        <f>Input!L111</f>
        <v>0</v>
      </c>
      <c r="H75">
        <f>IF(C75=$H$70,Console!$AV$9*12,0)</f>
        <v>0</v>
      </c>
      <c r="I75">
        <f>Input!N111</f>
        <v>0</v>
      </c>
      <c r="J75">
        <f t="shared" si="32"/>
        <v>0</v>
      </c>
      <c r="K75">
        <f>VLOOKUP(J75,Console!$BA$4:$BB$23,2,TRUE)</f>
        <v>0</v>
      </c>
      <c r="L75">
        <f>IFERROR(VLOOKUP(C75,Console!$AT$4:$AV$12,3,FALSE)*MAX(E75:F75)*VLOOKUP(C75,Console!$AT$4:$AV$12,2,FALSE),0)*12</f>
        <v>0</v>
      </c>
      <c r="M75">
        <f>IFERROR(IF(I75="Yes",0,IF(Console!$AQ$3=Console!$AQ$15,MAX(L75,G75*12,K75*J75,H75),IF(G75&gt;0,G75*12,MAX(L75,G75*12,K75*J75,H75)))),0)</f>
        <v>0</v>
      </c>
      <c r="N75">
        <f t="shared" si="33"/>
        <v>0</v>
      </c>
      <c r="O75">
        <f t="shared" si="34"/>
        <v>0</v>
      </c>
      <c r="P75">
        <f>G75/(Console!$AV$5*Console!$AU$5)</f>
        <v>0</v>
      </c>
    </row>
    <row r="76" spans="1:16">
      <c r="B76">
        <v>6</v>
      </c>
      <c r="C76">
        <f>Input!D112</f>
        <v>0</v>
      </c>
      <c r="D76">
        <f>Input!F112</f>
        <v>0</v>
      </c>
      <c r="E76">
        <f>Input!H112</f>
        <v>0</v>
      </c>
      <c r="F76">
        <f>Input!J112</f>
        <v>0</v>
      </c>
      <c r="G76">
        <f>Input!L112</f>
        <v>0</v>
      </c>
      <c r="H76">
        <f>IF(C76=$H$70,Console!$AV$9*12,0)</f>
        <v>0</v>
      </c>
      <c r="I76">
        <f>Input!N112</f>
        <v>0</v>
      </c>
      <c r="J76">
        <f t="shared" si="32"/>
        <v>0</v>
      </c>
      <c r="K76">
        <f>VLOOKUP(J76,Console!$BA$4:$BB$23,2,TRUE)</f>
        <v>0</v>
      </c>
      <c r="L76">
        <f>IFERROR(VLOOKUP(C76,Console!$AT$4:$AV$12,3,FALSE)*MAX(E76:F76)*VLOOKUP(C76,Console!$AT$4:$AV$12,2,FALSE),0)*12</f>
        <v>0</v>
      </c>
      <c r="M76">
        <f>IFERROR(IF(I76="Yes",0,IF(Console!$AQ$3=Console!$AQ$15,MAX(L76,G76*12,K76*J76,H76),IF(G76&gt;0,G76*12,MAX(L76,G76*12,K76*J76,H76)))),0)</f>
        <v>0</v>
      </c>
      <c r="N76">
        <f t="shared" si="33"/>
        <v>0</v>
      </c>
      <c r="O76">
        <f t="shared" si="34"/>
        <v>0</v>
      </c>
      <c r="P76">
        <f>G76/(Console!$AV$5*Console!$AU$5)</f>
        <v>0</v>
      </c>
    </row>
    <row r="77" spans="1:16">
      <c r="B77">
        <v>7</v>
      </c>
      <c r="C77">
        <f>Input!D113</f>
        <v>0</v>
      </c>
      <c r="D77">
        <f>Input!F113</f>
        <v>0</v>
      </c>
      <c r="E77">
        <f>Input!H113</f>
        <v>0</v>
      </c>
      <c r="F77">
        <f>Input!J113</f>
        <v>0</v>
      </c>
      <c r="G77">
        <f>Input!L113</f>
        <v>0</v>
      </c>
      <c r="H77">
        <f>IF(C77=$H$70,Console!$AV$9*12,0)</f>
        <v>0</v>
      </c>
      <c r="I77">
        <f>Input!N113</f>
        <v>0</v>
      </c>
      <c r="J77">
        <f t="shared" si="32"/>
        <v>0</v>
      </c>
      <c r="K77">
        <f>VLOOKUP(J77,Console!$BA$4:$BB$23,2,TRUE)</f>
        <v>0</v>
      </c>
      <c r="L77">
        <f>IFERROR(VLOOKUP(C77,Console!$AT$4:$AV$12,3,FALSE)*MAX(E77:F77)*VLOOKUP(C77,Console!$AT$4:$AV$12,2,FALSE),0)*12</f>
        <v>0</v>
      </c>
      <c r="M77">
        <f>IFERROR(IF(I77="Yes",0,IF(Console!$AQ$3=Console!$AQ$15,MAX(L77,G77*12,K77*J77,H77),IF(G77&gt;0,G77*12,MAX(L77,G77*12,K77*J77,H77)))),0)</f>
        <v>0</v>
      </c>
      <c r="N77">
        <f t="shared" si="33"/>
        <v>0</v>
      </c>
      <c r="O77">
        <f t="shared" si="34"/>
        <v>0</v>
      </c>
      <c r="P77">
        <f>G77/(Console!$AV$5*Console!$AU$5)</f>
        <v>0</v>
      </c>
    </row>
    <row r="78" spans="1:16">
      <c r="B78">
        <v>8</v>
      </c>
      <c r="C78">
        <f>Input!D114</f>
        <v>0</v>
      </c>
      <c r="D78">
        <f>Input!F114</f>
        <v>0</v>
      </c>
      <c r="E78">
        <f>Input!H114</f>
        <v>0</v>
      </c>
      <c r="F78">
        <f>Input!J114</f>
        <v>0</v>
      </c>
      <c r="G78">
        <f>Input!L114</f>
        <v>0</v>
      </c>
      <c r="H78">
        <f>IF(C78=$H$70,Console!$AV$9*12,0)</f>
        <v>0</v>
      </c>
      <c r="I78">
        <f>Input!N114</f>
        <v>0</v>
      </c>
      <c r="J78">
        <f t="shared" si="32"/>
        <v>0</v>
      </c>
      <c r="K78">
        <f>VLOOKUP(J78,Console!$BA$4:$BB$23,2,TRUE)</f>
        <v>0</v>
      </c>
      <c r="L78">
        <f>IFERROR(VLOOKUP(C78,Console!$AT$4:$AV$12,3,FALSE)*MAX(E78:F78)*VLOOKUP(C78,Console!$AT$4:$AV$12,2,FALSE),0)*12</f>
        <v>0</v>
      </c>
      <c r="M78">
        <f>IFERROR(IF(I78="Yes",0,IF(Console!$AQ$3=Console!$AQ$15,MAX(L78,G78*12,K78*J78,H78),IF(G78&gt;0,G78*12,MAX(L78,G78*12,K78*J78,H78)))),0)</f>
        <v>0</v>
      </c>
      <c r="N78">
        <f t="shared" si="33"/>
        <v>0</v>
      </c>
      <c r="O78">
        <f t="shared" si="34"/>
        <v>0</v>
      </c>
      <c r="P78">
        <f>G78/(Console!$AV$5*Console!$AU$5)</f>
        <v>0</v>
      </c>
    </row>
    <row r="79" spans="1:16">
      <c r="B79">
        <v>9</v>
      </c>
      <c r="C79">
        <f>Input!D115</f>
        <v>0</v>
      </c>
      <c r="D79">
        <f>Input!F115</f>
        <v>0</v>
      </c>
      <c r="E79">
        <f>Input!H115</f>
        <v>0</v>
      </c>
      <c r="F79">
        <f>Input!J115</f>
        <v>0</v>
      </c>
      <c r="G79">
        <f>Input!L115</f>
        <v>0</v>
      </c>
      <c r="H79">
        <f>IF(C79=$H$70,Console!$AV$9*12,0)</f>
        <v>0</v>
      </c>
      <c r="I79">
        <f>Input!N115</f>
        <v>0</v>
      </c>
      <c r="J79">
        <f t="shared" si="32"/>
        <v>0</v>
      </c>
      <c r="K79">
        <f>VLOOKUP(J79,Console!$BA$4:$BB$23,2,TRUE)</f>
        <v>0</v>
      </c>
      <c r="L79">
        <f>IFERROR(VLOOKUP(C79,Console!$AT$4:$AV$12,3,FALSE)*MAX(E79:F79)*VLOOKUP(C79,Console!$AT$4:$AV$12,2,FALSE),0)*12</f>
        <v>0</v>
      </c>
      <c r="M79">
        <f>IFERROR(IF(I79="Yes",0,IF(Console!$AQ$3=Console!$AQ$15,MAX(L79,G79*12,K79*J79,H79),IF(G79&gt;0,G79*12,MAX(L79,G79*12,K79*J79,H79)))),0)</f>
        <v>0</v>
      </c>
      <c r="N79">
        <f t="shared" si="33"/>
        <v>0</v>
      </c>
      <c r="O79">
        <f t="shared" si="34"/>
        <v>0</v>
      </c>
      <c r="P79">
        <f>G79/(Console!$AV$5*Console!$AU$5)</f>
        <v>0</v>
      </c>
    </row>
    <row r="80" spans="1:16">
      <c r="B80">
        <v>10</v>
      </c>
      <c r="C80">
        <f>Input!D116</f>
        <v>0</v>
      </c>
      <c r="D80">
        <f>Input!F116</f>
        <v>0</v>
      </c>
      <c r="E80">
        <f>Input!H116</f>
        <v>0</v>
      </c>
      <c r="F80">
        <f>Input!J116</f>
        <v>0</v>
      </c>
      <c r="G80">
        <f>Input!L116</f>
        <v>0</v>
      </c>
      <c r="H80">
        <f>IF(C80=$H$70,Console!$AV$9*12,0)</f>
        <v>0</v>
      </c>
      <c r="I80">
        <f>Input!N116</f>
        <v>0</v>
      </c>
      <c r="J80">
        <f t="shared" si="32"/>
        <v>0</v>
      </c>
      <c r="K80">
        <f>VLOOKUP(J80,Console!$BA$4:$BB$23,2,TRUE)</f>
        <v>0</v>
      </c>
      <c r="L80">
        <f>IFERROR(VLOOKUP(C80,Console!$AT$4:$AV$12,3,FALSE)*MAX(E80:F80)*VLOOKUP(C80,Console!$AT$4:$AV$12,2,FALSE),0)*12</f>
        <v>0</v>
      </c>
      <c r="M80">
        <f>IFERROR(IF(I80="Yes",0,IF(Console!$AQ$3=Console!$AQ$15,MAX(L80,G80*12,K80*J80,H80),IF(G80&gt;0,G80*12,MAX(L80,G80*12,K80*J80,H80)))),0)</f>
        <v>0</v>
      </c>
      <c r="N80">
        <f t="shared" si="33"/>
        <v>0</v>
      </c>
      <c r="O80">
        <f t="shared" si="34"/>
        <v>0</v>
      </c>
      <c r="P80">
        <f>G80/(Console!$AV$5*Console!$AU$5)</f>
        <v>0</v>
      </c>
    </row>
    <row r="81" spans="2:16">
      <c r="B81">
        <v>11</v>
      </c>
      <c r="C81">
        <f>Input!D117</f>
        <v>0</v>
      </c>
      <c r="D81">
        <f>Input!F117</f>
        <v>0</v>
      </c>
      <c r="E81">
        <f>Input!H117</f>
        <v>0</v>
      </c>
      <c r="F81">
        <f>Input!J117</f>
        <v>0</v>
      </c>
      <c r="G81">
        <f>Input!L117</f>
        <v>0</v>
      </c>
      <c r="H81">
        <f>IF(C81=$H$70,Console!$AV$9*12,0)</f>
        <v>0</v>
      </c>
      <c r="I81">
        <f>Input!N117</f>
        <v>0</v>
      </c>
      <c r="J81">
        <f t="shared" si="32"/>
        <v>0</v>
      </c>
      <c r="K81">
        <f>VLOOKUP(J81,Console!$BA$4:$BB$23,2,TRUE)</f>
        <v>0</v>
      </c>
      <c r="L81">
        <f>IFERROR(VLOOKUP(C81,Console!$AT$4:$AV$12,3,FALSE)*MAX(E81:F81)*VLOOKUP(C81,Console!$AT$4:$AV$12,2,FALSE),0)*12</f>
        <v>0</v>
      </c>
      <c r="M81">
        <f>IFERROR(IF(I81="Yes",0,IF(Console!$AQ$3=Console!$AQ$15,MAX(L81,G81*12,K81*J81,H81),IF(G81&gt;0,G81*12,MAX(L81,G81*12,K81*J81,H81)))),0)</f>
        <v>0</v>
      </c>
      <c r="N81">
        <f t="shared" si="33"/>
        <v>0</v>
      </c>
      <c r="O81">
        <f t="shared" si="34"/>
        <v>0</v>
      </c>
      <c r="P81">
        <f>G81/(Console!$AV$5*Console!$AU$5)</f>
        <v>0</v>
      </c>
    </row>
    <row r="82" spans="2:16">
      <c r="B82">
        <v>12</v>
      </c>
      <c r="C82">
        <f>Input!D118</f>
        <v>0</v>
      </c>
      <c r="D82">
        <f>Input!F118</f>
        <v>0</v>
      </c>
      <c r="E82">
        <f>Input!H118</f>
        <v>0</v>
      </c>
      <c r="F82">
        <f>Input!J118</f>
        <v>0</v>
      </c>
      <c r="G82">
        <f>Input!L118</f>
        <v>0</v>
      </c>
      <c r="H82">
        <f>IF(C82=$H$70,Console!$AV$9*12,0)</f>
        <v>0</v>
      </c>
      <c r="I82">
        <f>Input!N118</f>
        <v>0</v>
      </c>
      <c r="J82">
        <f t="shared" si="32"/>
        <v>0</v>
      </c>
      <c r="K82">
        <f>VLOOKUP(J82,Console!$BA$4:$BB$23,2,TRUE)</f>
        <v>0</v>
      </c>
      <c r="L82">
        <f>IFERROR(VLOOKUP(C82,Console!$AT$4:$AV$12,3,FALSE)*MAX(E82:F82)*VLOOKUP(C82,Console!$AT$4:$AV$12,2,FALSE),0)*12</f>
        <v>0</v>
      </c>
      <c r="M82">
        <f>IFERROR(IF(I82="Yes",0,IF(Console!$AQ$3=Console!$AQ$15,MAX(L82,G82*12,K82*J82,H82),IF(G82&gt;0,G82*12,MAX(L82,G82*12,K82*J82,H82)))),0)</f>
        <v>0</v>
      </c>
      <c r="N82">
        <f t="shared" si="33"/>
        <v>0</v>
      </c>
      <c r="O82">
        <f t="shared" si="34"/>
        <v>0</v>
      </c>
      <c r="P82">
        <f>G82/(Console!$AV$5*Console!$AU$5)</f>
        <v>0</v>
      </c>
    </row>
    <row r="83" spans="2:16">
      <c r="B83">
        <v>13</v>
      </c>
      <c r="C83">
        <f>Input!D119</f>
        <v>0</v>
      </c>
      <c r="D83">
        <f>Input!F119</f>
        <v>0</v>
      </c>
      <c r="E83">
        <f>Input!H119</f>
        <v>0</v>
      </c>
      <c r="F83">
        <f>Input!J119</f>
        <v>0</v>
      </c>
      <c r="G83">
        <f>Input!L119</f>
        <v>0</v>
      </c>
      <c r="H83">
        <f>IF(C83=$H$70,Console!$AV$9*12,0)</f>
        <v>0</v>
      </c>
      <c r="I83">
        <f>Input!N119</f>
        <v>0</v>
      </c>
      <c r="J83">
        <f t="shared" si="32"/>
        <v>0</v>
      </c>
      <c r="K83">
        <f>VLOOKUP(J83,Console!$BA$4:$BB$23,2,TRUE)</f>
        <v>0</v>
      </c>
      <c r="L83">
        <f>IFERROR(VLOOKUP(C83,Console!$AT$4:$AV$12,3,FALSE)*MAX(E83:F83)*VLOOKUP(C83,Console!$AT$4:$AV$12,2,FALSE),0)*12</f>
        <v>0</v>
      </c>
      <c r="M83">
        <f>IFERROR(IF(I83="Yes",0,IF(Console!$AQ$3=Console!$AQ$15,MAX(L83,G83*12,K83*J83,H83),IF(G83&gt;0,G83*12,MAX(L83,G83*12,K83*J83,H83)))),0)</f>
        <v>0</v>
      </c>
      <c r="N83">
        <f t="shared" si="33"/>
        <v>0</v>
      </c>
      <c r="O83">
        <f t="shared" si="34"/>
        <v>0</v>
      </c>
      <c r="P83">
        <f>G83/(Console!$AV$5*Console!$AU$5)</f>
        <v>0</v>
      </c>
    </row>
    <row r="84" spans="2:16">
      <c r="B84">
        <v>14</v>
      </c>
      <c r="C84">
        <f>Input!D120</f>
        <v>0</v>
      </c>
      <c r="D84">
        <f>Input!F120</f>
        <v>0</v>
      </c>
      <c r="E84">
        <f>Input!H120</f>
        <v>0</v>
      </c>
      <c r="F84">
        <f>Input!J120</f>
        <v>0</v>
      </c>
      <c r="G84">
        <f>Input!L120</f>
        <v>0</v>
      </c>
      <c r="H84">
        <f>IF(C84=$H$70,Console!$AV$9*12,0)</f>
        <v>0</v>
      </c>
      <c r="I84">
        <f>Input!N120</f>
        <v>0</v>
      </c>
      <c r="J84">
        <f t="shared" si="32"/>
        <v>0</v>
      </c>
      <c r="K84">
        <f>VLOOKUP(J84,Console!$BA$4:$BB$23,2,TRUE)</f>
        <v>0</v>
      </c>
      <c r="L84">
        <f>IFERROR(VLOOKUP(C84,Console!$AT$4:$AV$12,3,FALSE)*MAX(E84:F84)*VLOOKUP(C84,Console!$AT$4:$AV$12,2,FALSE),0)*12</f>
        <v>0</v>
      </c>
      <c r="M84">
        <f>IFERROR(IF(I84="Yes",0,IF(Console!$AQ$3=Console!$AQ$15,MAX(L84,G84*12,K84*J84,H84),IF(G84&gt;0,G84*12,MAX(L84,G84*12,K84*J84,H84)))),0)</f>
        <v>0</v>
      </c>
      <c r="N84">
        <f t="shared" si="33"/>
        <v>0</v>
      </c>
      <c r="O84">
        <f t="shared" si="34"/>
        <v>0</v>
      </c>
      <c r="P84">
        <f>G84/(Console!$AV$5*Console!$AU$5)</f>
        <v>0</v>
      </c>
    </row>
    <row r="85" spans="2:16">
      <c r="B85">
        <v>15</v>
      </c>
      <c r="C85">
        <f>Input!D121</f>
        <v>0</v>
      </c>
      <c r="D85">
        <f>Input!F121</f>
        <v>0</v>
      </c>
      <c r="E85">
        <f>Input!H121</f>
        <v>0</v>
      </c>
      <c r="F85">
        <f>Input!J121</f>
        <v>0</v>
      </c>
      <c r="G85">
        <f>Input!L121</f>
        <v>0</v>
      </c>
      <c r="H85">
        <f>IF(C85=$H$70,Console!$AV$9*12,0)</f>
        <v>0</v>
      </c>
      <c r="I85">
        <f>Input!N121</f>
        <v>0</v>
      </c>
      <c r="J85">
        <f t="shared" si="32"/>
        <v>0</v>
      </c>
      <c r="K85">
        <f>VLOOKUP(J85,Console!$BA$4:$BB$23,2,TRUE)</f>
        <v>0</v>
      </c>
      <c r="L85">
        <f>IFERROR(VLOOKUP(C85,Console!$AT$4:$AV$12,3,FALSE)*MAX(E85:F85)*VLOOKUP(C85,Console!$AT$4:$AV$12,2,FALSE),0)*12</f>
        <v>0</v>
      </c>
      <c r="M85">
        <f>IFERROR(IF(I85="Yes",0,IF(Console!$AQ$3=Console!$AQ$15,MAX(L85,G85*12,K85*J85,H85),IF(G85&gt;0,G85*12,MAX(L85,G85*12,K85*J85,H85)))),0)</f>
        <v>0</v>
      </c>
      <c r="N85">
        <f t="shared" si="33"/>
        <v>0</v>
      </c>
      <c r="O85">
        <f t="shared" si="34"/>
        <v>0</v>
      </c>
      <c r="P85">
        <f>G85/(Console!$AV$5*Console!$AU$5)</f>
        <v>0</v>
      </c>
    </row>
    <row r="86" spans="2:16">
      <c r="B86">
        <v>16</v>
      </c>
      <c r="C86">
        <f>Input!D122</f>
        <v>0</v>
      </c>
      <c r="D86">
        <f>Input!F122</f>
        <v>0</v>
      </c>
      <c r="E86">
        <f>Input!H122</f>
        <v>0</v>
      </c>
      <c r="F86">
        <f>Input!J122</f>
        <v>0</v>
      </c>
      <c r="G86">
        <f>Input!L122</f>
        <v>0</v>
      </c>
      <c r="H86">
        <f>IF(C86=$H$70,Console!$AV$9*12,0)</f>
        <v>0</v>
      </c>
      <c r="I86">
        <f>Input!N122</f>
        <v>0</v>
      </c>
      <c r="J86">
        <f t="shared" si="32"/>
        <v>0</v>
      </c>
      <c r="K86">
        <f>VLOOKUP(J86,Console!$BA$4:$BB$23,2,TRUE)</f>
        <v>0</v>
      </c>
      <c r="L86">
        <f>IFERROR(VLOOKUP(C86,Console!$AT$4:$AV$12,3,FALSE)*MAX(E86:F86)*VLOOKUP(C86,Console!$AT$4:$AV$12,2,FALSE),0)*12</f>
        <v>0</v>
      </c>
      <c r="M86">
        <f>IFERROR(IF(I86="Yes",0,IF(Console!$AQ$3=Console!$AQ$15,MAX(L86,G86*12,K86*J86,H86),IF(G86&gt;0,G86*12,MAX(L86,G86*12,K86*J86,H86)))),0)</f>
        <v>0</v>
      </c>
      <c r="N86">
        <f t="shared" si="33"/>
        <v>0</v>
      </c>
      <c r="O86">
        <f t="shared" si="34"/>
        <v>0</v>
      </c>
      <c r="P86">
        <f>G86/(Console!$AV$5*Console!$AU$5)</f>
        <v>0</v>
      </c>
    </row>
    <row r="87" spans="2:16">
      <c r="B87">
        <v>17</v>
      </c>
      <c r="C87">
        <f>Input!D123</f>
        <v>0</v>
      </c>
      <c r="D87">
        <f>Input!F123</f>
        <v>0</v>
      </c>
      <c r="E87">
        <f>Input!H123</f>
        <v>0</v>
      </c>
      <c r="F87">
        <f>Input!J123</f>
        <v>0</v>
      </c>
      <c r="G87">
        <f>Input!L123</f>
        <v>0</v>
      </c>
      <c r="H87">
        <f>IF(C87=$H$70,Console!$AV$9*12,0)</f>
        <v>0</v>
      </c>
      <c r="I87">
        <f>Input!N123</f>
        <v>0</v>
      </c>
      <c r="J87">
        <f t="shared" si="32"/>
        <v>0</v>
      </c>
      <c r="K87">
        <f>VLOOKUP(J87,Console!$BA$4:$BB$23,2,TRUE)</f>
        <v>0</v>
      </c>
      <c r="L87">
        <f>IFERROR(VLOOKUP(C87,Console!$AT$4:$AV$12,3,FALSE)*MAX(E87:F87)*VLOOKUP(C87,Console!$AT$4:$AV$12,2,FALSE),0)*12</f>
        <v>0</v>
      </c>
      <c r="M87">
        <f>IFERROR(IF(I87="Yes",0,IF(Console!$AQ$3=Console!$AQ$15,MAX(L87,G87*12,K87*J87,H87),IF(G87&gt;0,G87*12,MAX(L87,G87*12,K87*J87,H87)))),0)</f>
        <v>0</v>
      </c>
      <c r="N87">
        <f t="shared" si="33"/>
        <v>0</v>
      </c>
      <c r="O87">
        <f t="shared" si="34"/>
        <v>0</v>
      </c>
      <c r="P87">
        <f>G87/(Console!$AV$5*Console!$AU$5)</f>
        <v>0</v>
      </c>
    </row>
    <row r="88" spans="2:16">
      <c r="B88">
        <v>18</v>
      </c>
      <c r="C88">
        <f>Input!D124</f>
        <v>0</v>
      </c>
      <c r="D88">
        <f>Input!F124</f>
        <v>0</v>
      </c>
      <c r="E88">
        <f>Input!H124</f>
        <v>0</v>
      </c>
      <c r="F88">
        <f>Input!J124</f>
        <v>0</v>
      </c>
      <c r="G88">
        <f>Input!L124</f>
        <v>0</v>
      </c>
      <c r="H88">
        <f>IF(C88=$H$70,Console!$AV$9*12,0)</f>
        <v>0</v>
      </c>
      <c r="I88">
        <f>Input!N124</f>
        <v>0</v>
      </c>
      <c r="J88">
        <f t="shared" si="32"/>
        <v>0</v>
      </c>
      <c r="K88">
        <f>VLOOKUP(J88,Console!$BA$4:$BB$23,2,TRUE)</f>
        <v>0</v>
      </c>
      <c r="L88">
        <f>IFERROR(VLOOKUP(C88,Console!$AT$4:$AV$12,3,FALSE)*MAX(E88:F88)*VLOOKUP(C88,Console!$AT$4:$AV$12,2,FALSE),0)*12</f>
        <v>0</v>
      </c>
      <c r="M88">
        <f>IFERROR(IF(I88="Yes",0,IF(Console!$AQ$3=Console!$AQ$15,MAX(L88,G88*12,K88*J88,H88),IF(G88&gt;0,G88*12,MAX(L88,G88*12,K88*J88,H88)))),0)</f>
        <v>0</v>
      </c>
      <c r="N88">
        <f t="shared" si="33"/>
        <v>0</v>
      </c>
      <c r="O88">
        <f t="shared" si="34"/>
        <v>0</v>
      </c>
      <c r="P88">
        <f>G88/(Console!$AV$5*Console!$AU$5)</f>
        <v>0</v>
      </c>
    </row>
    <row r="89" spans="2:16">
      <c r="B89">
        <v>19</v>
      </c>
      <c r="C89">
        <f>Input!D125</f>
        <v>0</v>
      </c>
      <c r="D89">
        <f>Input!F125</f>
        <v>0</v>
      </c>
      <c r="E89">
        <f>Input!H125</f>
        <v>0</v>
      </c>
      <c r="F89">
        <f>Input!J125</f>
        <v>0</v>
      </c>
      <c r="G89">
        <f>Input!L125</f>
        <v>0</v>
      </c>
      <c r="H89">
        <f>IF(C89=$H$70,Console!$AV$9*12,0)</f>
        <v>0</v>
      </c>
      <c r="I89">
        <f>Input!N125</f>
        <v>0</v>
      </c>
      <c r="J89">
        <f t="shared" si="32"/>
        <v>0</v>
      </c>
      <c r="K89">
        <f>VLOOKUP(J89,Console!$BA$4:$BB$23,2,TRUE)</f>
        <v>0</v>
      </c>
      <c r="L89">
        <f>IFERROR(VLOOKUP(C89,Console!$AT$4:$AV$12,3,FALSE)*MAX(E89:F89)*VLOOKUP(C89,Console!$AT$4:$AV$12,2,FALSE),0)*12</f>
        <v>0</v>
      </c>
      <c r="M89">
        <f>IFERROR(IF(I89="Yes",0,IF(Console!$AQ$3=Console!$AQ$15,MAX(L89,G89*12,K89*J89,H89),IF(G89&gt;0,G89*12,MAX(L89,G89*12,K89*J89,H89)))),0)</f>
        <v>0</v>
      </c>
      <c r="N89">
        <f t="shared" si="33"/>
        <v>0</v>
      </c>
      <c r="O89">
        <f t="shared" si="34"/>
        <v>0</v>
      </c>
      <c r="P89">
        <f>G89/(Console!$AV$5*Console!$AU$5)</f>
        <v>0</v>
      </c>
    </row>
    <row r="90" spans="2:16">
      <c r="B90">
        <v>20</v>
      </c>
      <c r="C90">
        <f>Input!D126</f>
        <v>0</v>
      </c>
      <c r="D90">
        <f>Input!F126</f>
        <v>0</v>
      </c>
      <c r="E90">
        <f>Input!H126</f>
        <v>0</v>
      </c>
      <c r="F90">
        <f>Input!J126</f>
        <v>0</v>
      </c>
      <c r="G90">
        <f>Input!L126</f>
        <v>0</v>
      </c>
      <c r="H90">
        <f>IF(C90=$H$70,Console!$AV$9*12,0)</f>
        <v>0</v>
      </c>
      <c r="I90">
        <f>Input!N126</f>
        <v>0</v>
      </c>
      <c r="J90">
        <f t="shared" si="32"/>
        <v>0</v>
      </c>
      <c r="K90">
        <f>VLOOKUP(J90,Console!$BA$4:$BB$23,2,TRUE)</f>
        <v>0</v>
      </c>
      <c r="L90">
        <f>IFERROR(VLOOKUP(C90,Console!$AT$4:$AV$12,3,FALSE)*MAX(E90:F90)*VLOOKUP(C90,Console!$AT$4:$AV$12,2,FALSE),0)*12</f>
        <v>0</v>
      </c>
      <c r="M90">
        <f>IFERROR(IF(I90="Yes",0,IF(Console!$AQ$3=Console!$AQ$15,MAX(L90,G90*12,K90*J90,H90),IF(G90&gt;0,G90*12,MAX(L90,G90*12,K90*J90,H90)))),0)</f>
        <v>0</v>
      </c>
      <c r="N90">
        <f t="shared" si="33"/>
        <v>0</v>
      </c>
      <c r="O90">
        <f t="shared" si="34"/>
        <v>0</v>
      </c>
      <c r="P90">
        <f>G90/(Console!$AV$5*Console!$AU$5)</f>
        <v>0</v>
      </c>
    </row>
    <row r="91" spans="2:16">
      <c r="B91">
        <v>21</v>
      </c>
      <c r="C91">
        <f>Input!D127</f>
        <v>0</v>
      </c>
      <c r="D91">
        <f>Input!F127</f>
        <v>0</v>
      </c>
      <c r="E91">
        <f>Input!H127</f>
        <v>0</v>
      </c>
      <c r="F91">
        <f>Input!J127</f>
        <v>0</v>
      </c>
      <c r="G91">
        <f>Input!L127</f>
        <v>0</v>
      </c>
      <c r="H91">
        <f>IF(C91=$H$70,Console!$AV$9*12,0)</f>
        <v>0</v>
      </c>
      <c r="I91">
        <f>Input!N127</f>
        <v>0</v>
      </c>
      <c r="J91">
        <f t="shared" si="32"/>
        <v>0</v>
      </c>
      <c r="K91">
        <f>VLOOKUP(J91,Console!$BA$4:$BB$23,2,TRUE)</f>
        <v>0</v>
      </c>
      <c r="L91">
        <f>IFERROR(VLOOKUP(C91,Console!$AT$4:$AV$12,3,FALSE)*MAX(E91:F91)*VLOOKUP(C91,Console!$AT$4:$AV$12,2,FALSE),0)*12</f>
        <v>0</v>
      </c>
      <c r="M91">
        <f>IFERROR(IF(I91="Yes",0,IF(Console!$AQ$3=Console!$AQ$15,MAX(L91,G91*12,K91*J91,H91),IF(G91&gt;0,G91*12,MAX(L91,G91*12,K91*J91,H91)))),0)</f>
        <v>0</v>
      </c>
      <c r="N91">
        <f t="shared" si="33"/>
        <v>0</v>
      </c>
      <c r="O91">
        <f t="shared" si="34"/>
        <v>0</v>
      </c>
      <c r="P91">
        <f>G91/(Console!$AV$5*Console!$AU$5)</f>
        <v>0</v>
      </c>
    </row>
    <row r="92" spans="2:16">
      <c r="B92">
        <v>22</v>
      </c>
      <c r="C92">
        <f>Input!D128</f>
        <v>0</v>
      </c>
      <c r="D92">
        <f>Input!F128</f>
        <v>0</v>
      </c>
      <c r="E92">
        <f>Input!H128</f>
        <v>0</v>
      </c>
      <c r="F92">
        <f>Input!J128</f>
        <v>0</v>
      </c>
      <c r="G92">
        <f>Input!L128</f>
        <v>0</v>
      </c>
      <c r="H92">
        <f>IF(C92=$H$70,Console!$AV$9*12,0)</f>
        <v>0</v>
      </c>
      <c r="I92">
        <f>Input!N128</f>
        <v>0</v>
      </c>
      <c r="J92">
        <f t="shared" si="32"/>
        <v>0</v>
      </c>
      <c r="K92">
        <f>VLOOKUP(J92,Console!$BA$4:$BB$23,2,TRUE)</f>
        <v>0</v>
      </c>
      <c r="L92">
        <f>IFERROR(VLOOKUP(C92,Console!$AT$4:$AV$12,3,FALSE)*MAX(E92:F92)*VLOOKUP(C92,Console!$AT$4:$AV$12,2,FALSE),0)*12</f>
        <v>0</v>
      </c>
      <c r="M92">
        <f>IFERROR(IF(I92="Yes",0,IF(Console!$AQ$3=Console!$AQ$15,MAX(L92,G92*12,K92*J92,H92),IF(G92&gt;0,G92*12,MAX(L92,G92*12,K92*J92,H92)))),0)</f>
        <v>0</v>
      </c>
      <c r="N92">
        <f t="shared" si="33"/>
        <v>0</v>
      </c>
      <c r="O92">
        <f t="shared" si="34"/>
        <v>0</v>
      </c>
      <c r="P92">
        <f>G92/(Console!$AV$5*Console!$AU$5)</f>
        <v>0</v>
      </c>
    </row>
    <row r="93" spans="2:16">
      <c r="B93">
        <v>23</v>
      </c>
      <c r="C93">
        <f>Input!D129</f>
        <v>0</v>
      </c>
      <c r="D93">
        <f>Input!F129</f>
        <v>0</v>
      </c>
      <c r="E93">
        <f>Input!H129</f>
        <v>0</v>
      </c>
      <c r="F93">
        <f>Input!J129</f>
        <v>0</v>
      </c>
      <c r="G93">
        <f>Input!L129</f>
        <v>0</v>
      </c>
      <c r="H93">
        <f>IF(C93=$H$70,Console!$AV$9*12,0)</f>
        <v>0</v>
      </c>
      <c r="I93">
        <f>Input!N129</f>
        <v>0</v>
      </c>
      <c r="J93">
        <f t="shared" si="32"/>
        <v>0</v>
      </c>
      <c r="K93">
        <f>VLOOKUP(J93,Console!$BA$4:$BB$23,2,TRUE)</f>
        <v>0</v>
      </c>
      <c r="L93">
        <f>IFERROR(VLOOKUP(C93,Console!$AT$4:$AV$12,3,FALSE)*MAX(E93:F93)*VLOOKUP(C93,Console!$AT$4:$AV$12,2,FALSE),0)*12</f>
        <v>0</v>
      </c>
      <c r="M93">
        <f>IFERROR(IF(I93="Yes",0,IF(Console!$AQ$3=Console!$AQ$15,MAX(L93,G93*12,K93*J93,H93),IF(G93&gt;0,G93*12,MAX(L93,G93*12,K93*J93,H93)))),0)</f>
        <v>0</v>
      </c>
      <c r="N93">
        <f t="shared" si="33"/>
        <v>0</v>
      </c>
      <c r="O93">
        <f t="shared" si="34"/>
        <v>0</v>
      </c>
      <c r="P93">
        <f>G93/(Console!$AV$5*Console!$AU$5)</f>
        <v>0</v>
      </c>
    </row>
    <row r="94" spans="2:16">
      <c r="B94">
        <v>24</v>
      </c>
      <c r="C94">
        <f>Input!D130</f>
        <v>0</v>
      </c>
      <c r="D94">
        <f>Input!F130</f>
        <v>0</v>
      </c>
      <c r="E94">
        <f>Input!H130</f>
        <v>0</v>
      </c>
      <c r="F94">
        <f>Input!J130</f>
        <v>0</v>
      </c>
      <c r="G94">
        <f>Input!L130</f>
        <v>0</v>
      </c>
      <c r="H94">
        <f>IF(C94=$H$70,Console!$AV$9*12,0)</f>
        <v>0</v>
      </c>
      <c r="I94">
        <f>Input!N130</f>
        <v>0</v>
      </c>
      <c r="J94">
        <f t="shared" si="32"/>
        <v>0</v>
      </c>
      <c r="K94">
        <f>VLOOKUP(J94,Console!$BA$4:$BB$23,2,TRUE)</f>
        <v>0</v>
      </c>
      <c r="L94">
        <f>IFERROR(VLOOKUP(C94,Console!$AT$4:$AV$12,3,FALSE)*MAX(E94:F94)*VLOOKUP(C94,Console!$AT$4:$AV$12,2,FALSE),0)*12</f>
        <v>0</v>
      </c>
      <c r="M94">
        <f>IFERROR(IF(I94="Yes",0,IF(Console!$AQ$3=Console!$AQ$15,MAX(L94,G94*12,K94*J94,H94),IF(G94&gt;0,G94*12,MAX(L94,G94*12,K94*J94,H94)))),0)</f>
        <v>0</v>
      </c>
      <c r="N94">
        <f t="shared" si="33"/>
        <v>0</v>
      </c>
      <c r="O94">
        <f t="shared" si="34"/>
        <v>0</v>
      </c>
      <c r="P94">
        <f>G94/(Console!$AV$5*Console!$AU$5)</f>
        <v>0</v>
      </c>
    </row>
    <row r="95" spans="2:16">
      <c r="B95">
        <v>25</v>
      </c>
      <c r="C95">
        <f>Input!D131</f>
        <v>0</v>
      </c>
      <c r="D95">
        <f>Input!F131</f>
        <v>0</v>
      </c>
      <c r="E95">
        <f>Input!H131</f>
        <v>0</v>
      </c>
      <c r="F95">
        <f>Input!J131</f>
        <v>0</v>
      </c>
      <c r="G95">
        <f>Input!L131</f>
        <v>0</v>
      </c>
      <c r="H95">
        <f>IF(C95=$H$70,Console!$AV$9*12,0)</f>
        <v>0</v>
      </c>
      <c r="I95">
        <f>Input!N131</f>
        <v>0</v>
      </c>
      <c r="J95">
        <f t="shared" si="32"/>
        <v>0</v>
      </c>
      <c r="K95">
        <f>VLOOKUP(J95,Console!$BA$4:$BB$23,2,TRUE)</f>
        <v>0</v>
      </c>
      <c r="L95">
        <f>IFERROR(VLOOKUP(C95,Console!$AT$4:$AV$12,3,FALSE)*MAX(E95:F95)*VLOOKUP(C95,Console!$AT$4:$AV$12,2,FALSE),0)*12</f>
        <v>0</v>
      </c>
      <c r="M95">
        <f>IFERROR(IF(I95="Yes",0,IF(Console!$AQ$3=Console!$AQ$15,MAX(L95,G95*12,K95*J95,H95),IF(G95&gt;0,G95*12,MAX(L95,G95*12,K95*J95,H95)))),0)</f>
        <v>0</v>
      </c>
      <c r="N95">
        <f t="shared" si="33"/>
        <v>0</v>
      </c>
      <c r="O95">
        <f t="shared" si="34"/>
        <v>0</v>
      </c>
      <c r="P95">
        <f>G95/(Console!$AV$5*Console!$AU$5)</f>
        <v>0</v>
      </c>
    </row>
    <row r="96" spans="2:16">
      <c r="B96" t="s">
        <v>149</v>
      </c>
      <c r="M96">
        <f>SUM(M71:M95)</f>
        <v>0</v>
      </c>
      <c r="N96">
        <f>SUM(N71:N95)</f>
        <v>0</v>
      </c>
    </row>
    <row r="102" spans="1:18">
      <c r="A102" t="s">
        <v>289</v>
      </c>
      <c r="B102" t="s">
        <v>282</v>
      </c>
      <c r="C102" t="s">
        <v>284</v>
      </c>
      <c r="D102" t="s">
        <v>288</v>
      </c>
      <c r="E102" t="s">
        <v>287</v>
      </c>
      <c r="F102" t="s">
        <v>283</v>
      </c>
      <c r="G102" t="s">
        <v>290</v>
      </c>
      <c r="H102" t="s">
        <v>293</v>
      </c>
    </row>
    <row r="103" spans="1:18">
      <c r="A103" s="4" t="e">
        <f>C27</f>
        <v>#REF!</v>
      </c>
      <c r="B103" t="e">
        <f>IF(A103=0,"",A103)</f>
        <v>#REF!</v>
      </c>
      <c r="C103" t="str">
        <f t="array" ref="C103">IFERROR(INDEX($B$103:$B$122, MATCH(0, COUNTIF($C$102:C102, $B$103:$B$122), 0)), "")</f>
        <v/>
      </c>
      <c r="D103">
        <v>1</v>
      </c>
      <c r="E103">
        <f>IF(C103="",0,D103)</f>
        <v>0</v>
      </c>
      <c r="F103">
        <f>MAX(E103:E122)</f>
        <v>0</v>
      </c>
      <c r="G103" s="14">
        <f>SUMIFS($O$71:$O$95,$C$71:$C$95,Console!$AT$5,Calculations!$D$71:$D$95,Calculations!C103)</f>
        <v>0</v>
      </c>
      <c r="H103" s="13">
        <f>IF(Console!$BQ$3=1,G103*(1-11.7%/2)*Console!$F$3,0)</f>
        <v>0</v>
      </c>
      <c r="O103" s="25"/>
      <c r="R103" s="124"/>
    </row>
    <row r="104" spans="1:18">
      <c r="A104" s="4" t="e">
        <f>D27</f>
        <v>#REF!</v>
      </c>
      <c r="B104" t="e">
        <f t="shared" ref="B104:B122" si="35">IF(A104=0,"",A104)</f>
        <v>#REF!</v>
      </c>
      <c r="C104" t="str">
        <f t="array" ref="C104">IFERROR(INDEX($B$103:$B$122, MATCH(0, COUNTIF($C$102:C103, $B$103:$B$122), 0)), "")</f>
        <v/>
      </c>
      <c r="D104">
        <v>2</v>
      </c>
      <c r="E104">
        <f t="shared" ref="E104:E122" si="36">IF(C104="",0,D104)</f>
        <v>0</v>
      </c>
      <c r="G104" s="14">
        <f>SUMIFS($E$71:$E$95,$C$71:$C$95,Console!$AT$5,Calculations!$D$71:$D$95,Calculations!C104)</f>
        <v>0</v>
      </c>
      <c r="H104" s="13">
        <f>IF(Console!$BQ$3=1,G104*(1-11.7%/2)*Console!$F$3,0)</f>
        <v>0</v>
      </c>
      <c r="O104" s="25"/>
      <c r="Q104" s="85"/>
    </row>
    <row r="105" spans="1:18">
      <c r="A105" s="4" t="e">
        <f>E27</f>
        <v>#REF!</v>
      </c>
      <c r="B105" t="e">
        <f t="shared" si="35"/>
        <v>#REF!</v>
      </c>
      <c r="C105" t="str">
        <f t="array" ref="C105">IFERROR(INDEX($B$103:$B$122, MATCH(0, COUNTIF($C$102:C104, $B$103:$B$122), 0)), "")</f>
        <v/>
      </c>
      <c r="D105">
        <v>3</v>
      </c>
      <c r="E105">
        <f t="shared" si="36"/>
        <v>0</v>
      </c>
      <c r="G105" s="14">
        <f>SUMIFS($E$71:$E$95,$C$71:$C$95,Console!$AT$5,Calculations!$D$71:$D$95,Calculations!C105)</f>
        <v>0</v>
      </c>
      <c r="H105" s="13">
        <f>IF(Console!$BQ$3=1,G105*(1-11.7%/2)*Console!$F$3,0)</f>
        <v>0</v>
      </c>
      <c r="O105" s="25"/>
      <c r="Q105" s="85"/>
    </row>
    <row r="106" spans="1:18">
      <c r="A106" s="4" t="e">
        <f>F27</f>
        <v>#REF!</v>
      </c>
      <c r="B106" t="e">
        <f t="shared" si="35"/>
        <v>#REF!</v>
      </c>
      <c r="C106" t="str">
        <f t="array" ref="C106">IFERROR(INDEX($B$103:$B$122, MATCH(0, COUNTIF($C$102:C105, $B$103:$B$122), 0)), "")</f>
        <v/>
      </c>
      <c r="D106">
        <v>4</v>
      </c>
      <c r="E106">
        <f t="shared" si="36"/>
        <v>0</v>
      </c>
      <c r="G106" s="14">
        <f>SUMIFS($E$71:$E$95,$C$71:$C$95,Console!$AT$5,Calculations!$D$71:$D$95,Calculations!C106)</f>
        <v>0</v>
      </c>
      <c r="H106" s="13">
        <f>IF(Console!$BQ$3=1,G106*(1-11.7%/2)*Console!$F$3,0)</f>
        <v>0</v>
      </c>
      <c r="O106" s="25"/>
      <c r="Q106" s="85"/>
    </row>
    <row r="107" spans="1:18">
      <c r="A107" s="4" t="e">
        <f>G27</f>
        <v>#REF!</v>
      </c>
      <c r="B107" t="e">
        <f t="shared" si="35"/>
        <v>#REF!</v>
      </c>
      <c r="C107" t="str">
        <f t="array" ref="C107">IFERROR(INDEX($B$103:$B$122, MATCH(0, COUNTIF($C$102:C106, $B$103:$B$122), 0)), "")</f>
        <v/>
      </c>
      <c r="D107">
        <v>5</v>
      </c>
      <c r="E107">
        <f t="shared" si="36"/>
        <v>0</v>
      </c>
      <c r="G107" s="14">
        <f>SUMIFS($E$71:$E$95,$C$71:$C$95,Console!$AT$5,Calculations!$D$71:$D$95,Calculations!C107)</f>
        <v>0</v>
      </c>
      <c r="H107" s="13">
        <f>IF(Console!$BQ$3=1,G107*(1-11.7%/2)*Console!$F$3,0)</f>
        <v>0</v>
      </c>
      <c r="O107" s="25"/>
      <c r="Q107" s="85"/>
    </row>
    <row r="108" spans="1:18">
      <c r="A108" s="4" t="e">
        <f>H27</f>
        <v>#REF!</v>
      </c>
      <c r="B108" t="e">
        <f t="shared" si="35"/>
        <v>#REF!</v>
      </c>
      <c r="C108" t="str">
        <f t="array" ref="C108">IFERROR(INDEX($B$103:$B$122, MATCH(0, COUNTIF($C$102:C107, $B$103:$B$122), 0)), "")</f>
        <v/>
      </c>
      <c r="D108">
        <v>6</v>
      </c>
      <c r="E108">
        <f t="shared" si="36"/>
        <v>0</v>
      </c>
      <c r="G108" s="14">
        <f>SUMIFS($E$71:$E$95,$C$71:$C$95,Console!$AT$5,Calculations!$D$71:$D$95,Calculations!C108)</f>
        <v>0</v>
      </c>
      <c r="H108" s="13">
        <f>IF(Console!$BQ$3=1,G108*(1-11.7%/2)*Console!$F$3,0)</f>
        <v>0</v>
      </c>
      <c r="O108" s="25"/>
      <c r="Q108" s="85"/>
    </row>
    <row r="109" spans="1:18">
      <c r="A109" s="4" t="e">
        <f>I27</f>
        <v>#REF!</v>
      </c>
      <c r="B109" t="e">
        <f t="shared" si="35"/>
        <v>#REF!</v>
      </c>
      <c r="C109" t="str">
        <f t="array" ref="C109">IFERROR(INDEX($B$103:$B$122, MATCH(0, COUNTIF($C$102:C108, $B$103:$B$122), 0)), "")</f>
        <v/>
      </c>
      <c r="D109">
        <v>7</v>
      </c>
      <c r="E109">
        <f t="shared" si="36"/>
        <v>0</v>
      </c>
      <c r="G109" s="14">
        <f>SUMIFS($E$71:$E$95,$C$71:$C$95,Console!$AT$5,Calculations!$D$71:$D$95,Calculations!C109)</f>
        <v>0</v>
      </c>
      <c r="H109" s="13">
        <f>IF(Console!$BQ$3=1,G109*(1-11.7%/2)*Console!$F$3,0)</f>
        <v>0</v>
      </c>
      <c r="O109" s="25"/>
      <c r="Q109" s="85"/>
    </row>
    <row r="110" spans="1:18">
      <c r="A110" s="4" t="e">
        <f>J27</f>
        <v>#REF!</v>
      </c>
      <c r="B110" t="e">
        <f t="shared" si="35"/>
        <v>#REF!</v>
      </c>
      <c r="C110" t="str">
        <f t="array" ref="C110">IFERROR(INDEX($B$103:$B$122, MATCH(0, COUNTIF($C$102:C109, $B$103:$B$122), 0)), "")</f>
        <v/>
      </c>
      <c r="D110">
        <v>8</v>
      </c>
      <c r="E110">
        <f t="shared" si="36"/>
        <v>0</v>
      </c>
      <c r="G110" s="14">
        <f>SUMIFS($E$71:$E$95,$C$71:$C$95,Console!$AT$5,Calculations!$D$71:$D$95,Calculations!C110)</f>
        <v>0</v>
      </c>
      <c r="H110" s="13">
        <f>IF(Console!$BQ$3=1,G110*(1-11.7%/2)*Console!$F$3,0)</f>
        <v>0</v>
      </c>
      <c r="O110" s="25"/>
      <c r="Q110" s="85"/>
    </row>
    <row r="111" spans="1:18">
      <c r="A111" s="4" t="e">
        <f>K27</f>
        <v>#REF!</v>
      </c>
      <c r="B111" t="e">
        <f t="shared" si="35"/>
        <v>#REF!</v>
      </c>
      <c r="C111" t="str">
        <f t="array" ref="C111">IFERROR(INDEX($B$103:$B$122, MATCH(0, COUNTIF($C$102:C110, $B$103:$B$122), 0)), "")</f>
        <v/>
      </c>
      <c r="D111">
        <v>9</v>
      </c>
      <c r="E111">
        <f t="shared" si="36"/>
        <v>0</v>
      </c>
      <c r="G111" s="14">
        <f>SUMIFS($E$71:$E$95,$C$71:$C$95,Console!$AT$5,Calculations!$D$71:$D$95,Calculations!C111)</f>
        <v>0</v>
      </c>
      <c r="H111" s="13">
        <f>IF(Console!$BQ$3=1,G111*(1-11.7%/2)*Console!$F$3,0)</f>
        <v>0</v>
      </c>
      <c r="O111" s="25"/>
      <c r="Q111" s="85"/>
    </row>
    <row r="112" spans="1:18">
      <c r="A112" s="4" t="e">
        <f>L27</f>
        <v>#REF!</v>
      </c>
      <c r="B112" t="e">
        <f t="shared" si="35"/>
        <v>#REF!</v>
      </c>
      <c r="C112" t="str">
        <f t="array" ref="C112">IFERROR(INDEX($B$103:$B$122, MATCH(0, COUNTIF($C$102:C111, $B$103:$B$122), 0)), "")</f>
        <v/>
      </c>
      <c r="D112">
        <v>10</v>
      </c>
      <c r="E112">
        <f t="shared" si="36"/>
        <v>0</v>
      </c>
      <c r="G112" s="14">
        <f>SUMIFS($E$71:$E$95,$C$71:$C$95,Console!$AT$5,Calculations!$D$71:$D$95,Calculations!C112)</f>
        <v>0</v>
      </c>
      <c r="H112" s="13">
        <f>IF(Console!$BQ$3=1,G112*(1-11.7%/2)*Console!$F$3,0)</f>
        <v>0</v>
      </c>
      <c r="O112" s="25"/>
      <c r="Q112" s="85"/>
    </row>
    <row r="113" spans="1:17">
      <c r="A113" s="4" t="e">
        <f>M27</f>
        <v>#REF!</v>
      </c>
      <c r="B113" t="e">
        <f t="shared" si="35"/>
        <v>#REF!</v>
      </c>
      <c r="C113" t="str">
        <f t="array" ref="C113">IFERROR(INDEX($B$103:$B$122, MATCH(0, COUNTIF($C$102:C112, $B$103:$B$122), 0)), "")</f>
        <v/>
      </c>
      <c r="D113">
        <v>11</v>
      </c>
      <c r="E113">
        <f t="shared" si="36"/>
        <v>0</v>
      </c>
      <c r="G113" s="14">
        <f>SUMIFS($E$71:$E$95,$C$71:$C$95,Console!$AT$5,Calculations!$D$71:$D$95,Calculations!C113)</f>
        <v>0</v>
      </c>
      <c r="H113" s="13">
        <f>IF(Console!$BQ$3=1,G113*(1-11.7%/2)*Console!$F$3,0)</f>
        <v>0</v>
      </c>
      <c r="O113" s="25"/>
      <c r="Q113" s="85"/>
    </row>
    <row r="114" spans="1:17">
      <c r="A114" s="4" t="e">
        <f>N27</f>
        <v>#REF!</v>
      </c>
      <c r="B114" t="e">
        <f t="shared" si="35"/>
        <v>#REF!</v>
      </c>
      <c r="C114" t="str">
        <f t="array" ref="C114">IFERROR(INDEX($B$103:$B$122, MATCH(0, COUNTIF($C$102:C113, $B$103:$B$122), 0)), "")</f>
        <v/>
      </c>
      <c r="D114">
        <v>12</v>
      </c>
      <c r="E114">
        <f t="shared" si="36"/>
        <v>0</v>
      </c>
      <c r="G114" s="14">
        <f>SUMIFS($E$71:$E$95,$C$71:$C$95,Console!$AT$5,Calculations!$D$71:$D$95,Calculations!C114)</f>
        <v>0</v>
      </c>
      <c r="H114" s="13">
        <f>IF(Console!$BQ$3=1,G114*(1-11.7%/2)*Console!$F$3,0)</f>
        <v>0</v>
      </c>
      <c r="O114" s="25"/>
      <c r="Q114" s="85"/>
    </row>
    <row r="115" spans="1:17">
      <c r="A115" s="4" t="e">
        <f>O27</f>
        <v>#REF!</v>
      </c>
      <c r="B115" t="e">
        <f t="shared" si="35"/>
        <v>#REF!</v>
      </c>
      <c r="C115" t="str">
        <f t="array" ref="C115">IFERROR(INDEX($B$103:$B$122, MATCH(0, COUNTIF($C$102:C114, $B$103:$B$122), 0)), "")</f>
        <v/>
      </c>
      <c r="D115">
        <v>13</v>
      </c>
      <c r="E115">
        <f t="shared" si="36"/>
        <v>0</v>
      </c>
      <c r="G115" s="14">
        <f>SUMIFS($E$71:$E$95,$C$71:$C$95,Console!$AT$5,Calculations!$D$71:$D$95,Calculations!C115)</f>
        <v>0</v>
      </c>
      <c r="H115" s="13">
        <f>IF(Console!$BQ$3=1,G115*(1-11.7%/2)*Console!$F$3,0)</f>
        <v>0</v>
      </c>
      <c r="O115" s="25"/>
      <c r="Q115" s="85"/>
    </row>
    <row r="116" spans="1:17">
      <c r="A116" s="4" t="e">
        <f>P27</f>
        <v>#REF!</v>
      </c>
      <c r="B116" t="e">
        <f t="shared" si="35"/>
        <v>#REF!</v>
      </c>
      <c r="C116" t="str">
        <f t="array" ref="C116">IFERROR(INDEX($B$103:$B$122, MATCH(0, COUNTIF($C$102:C115, $B$103:$B$122), 0)), "")</f>
        <v/>
      </c>
      <c r="D116">
        <v>14</v>
      </c>
      <c r="E116">
        <f t="shared" si="36"/>
        <v>0</v>
      </c>
      <c r="G116" s="14">
        <f>SUMIFS($E$71:$E$95,$C$71:$C$95,Console!$AT$5,Calculations!$D$71:$D$95,Calculations!C116)</f>
        <v>0</v>
      </c>
      <c r="H116" s="13">
        <f>IF(Console!$BQ$3=1,G116*(1-11.7%/2)*Console!$F$3,0)</f>
        <v>0</v>
      </c>
      <c r="O116" s="25"/>
      <c r="Q116" s="85"/>
    </row>
    <row r="117" spans="1:17">
      <c r="A117" s="4" t="e">
        <f>Q27</f>
        <v>#REF!</v>
      </c>
      <c r="B117" t="e">
        <f t="shared" si="35"/>
        <v>#REF!</v>
      </c>
      <c r="C117" t="str">
        <f t="array" ref="C117">IFERROR(INDEX($B$103:$B$122, MATCH(0, COUNTIF($C$102:C116, $B$103:$B$122), 0)), "")</f>
        <v/>
      </c>
      <c r="D117">
        <v>15</v>
      </c>
      <c r="E117">
        <f t="shared" si="36"/>
        <v>0</v>
      </c>
      <c r="G117" s="14">
        <f>SUMIFS($E$71:$E$95,$C$71:$C$95,Console!$AT$5,Calculations!$D$71:$D$95,Calculations!C117)</f>
        <v>0</v>
      </c>
      <c r="H117" s="13">
        <f>IF(Console!$BQ$3=1,G117*(1-11.7%/2)*Console!$F$3,0)</f>
        <v>0</v>
      </c>
      <c r="O117" s="25"/>
      <c r="Q117" s="85"/>
    </row>
    <row r="118" spans="1:17">
      <c r="A118" s="4" t="e">
        <f>R27</f>
        <v>#REF!</v>
      </c>
      <c r="B118" t="e">
        <f t="shared" si="35"/>
        <v>#REF!</v>
      </c>
      <c r="C118" t="str">
        <f t="array" ref="C118">IFERROR(INDEX($B$103:$B$122, MATCH(0, COUNTIF($C$102:C117, $B$103:$B$122), 0)), "")</f>
        <v/>
      </c>
      <c r="D118">
        <v>16</v>
      </c>
      <c r="E118">
        <f t="shared" si="36"/>
        <v>0</v>
      </c>
      <c r="G118" s="14">
        <f>SUMIFS($E$71:$E$95,$C$71:$C$95,Console!$AT$5,Calculations!$D$71:$D$95,Calculations!C118)</f>
        <v>0</v>
      </c>
      <c r="H118" s="13">
        <f>IF(Console!$BQ$3=1,G118*(1-11.7%/2)*Console!$F$3,0)</f>
        <v>0</v>
      </c>
      <c r="O118" s="25"/>
      <c r="Q118" s="85"/>
    </row>
    <row r="119" spans="1:17">
      <c r="A119" s="4" t="e">
        <f>S27</f>
        <v>#REF!</v>
      </c>
      <c r="B119" t="e">
        <f t="shared" si="35"/>
        <v>#REF!</v>
      </c>
      <c r="C119" t="str">
        <f t="array" ref="C119">IFERROR(INDEX($B$103:$B$122, MATCH(0, COUNTIF($C$102:C118, $B$103:$B$122), 0)), "")</f>
        <v/>
      </c>
      <c r="D119">
        <v>17</v>
      </c>
      <c r="E119">
        <f t="shared" si="36"/>
        <v>0</v>
      </c>
      <c r="G119" s="14">
        <f>SUMIFS($E$71:$E$95,$C$71:$C$95,Console!$AT$5,Calculations!$D$71:$D$95,Calculations!C119)</f>
        <v>0</v>
      </c>
      <c r="H119" s="13">
        <f>IF(Console!$BQ$3=1,G119*(1-11.7%/2)*Console!$F$3,0)</f>
        <v>0</v>
      </c>
      <c r="O119" s="25"/>
      <c r="Q119" s="85"/>
    </row>
    <row r="120" spans="1:17">
      <c r="A120" s="4" t="e">
        <f>T27</f>
        <v>#REF!</v>
      </c>
      <c r="B120" t="e">
        <f t="shared" si="35"/>
        <v>#REF!</v>
      </c>
      <c r="C120" t="str">
        <f t="array" ref="C120">IFERROR(INDEX($B$103:$B$122, MATCH(0, COUNTIF($C$102:C119, $B$103:$B$122), 0)), "")</f>
        <v/>
      </c>
      <c r="D120">
        <v>18</v>
      </c>
      <c r="E120">
        <f t="shared" si="36"/>
        <v>0</v>
      </c>
      <c r="G120" s="14">
        <f>SUMIFS($E$71:$E$95,$C$71:$C$95,Console!$AT$5,Calculations!$D$71:$D$95,Calculations!C120)</f>
        <v>0</v>
      </c>
      <c r="H120" s="13">
        <f>IF(Console!$BQ$3=1,G120*(1-11.7%/2)*Console!$F$3,0)</f>
        <v>0</v>
      </c>
      <c r="O120" s="25"/>
      <c r="Q120" s="85"/>
    </row>
    <row r="121" spans="1:17">
      <c r="A121" s="4" t="e">
        <f>U27</f>
        <v>#REF!</v>
      </c>
      <c r="B121" t="e">
        <f t="shared" si="35"/>
        <v>#REF!</v>
      </c>
      <c r="C121" t="str">
        <f t="array" ref="C121">IFERROR(INDEX($B$103:$B$122, MATCH(0, COUNTIF($C$102:C120, $B$103:$B$122), 0)), "")</f>
        <v/>
      </c>
      <c r="D121">
        <v>19</v>
      </c>
      <c r="E121">
        <f t="shared" si="36"/>
        <v>0</v>
      </c>
      <c r="G121" s="14">
        <f>SUMIFS($E$71:$E$95,$C$71:$C$95,Console!$AT$5,Calculations!$D$71:$D$95,Calculations!C121)</f>
        <v>0</v>
      </c>
      <c r="H121" s="13">
        <f>IF(Console!$BQ$3=1,G121*(1-11.7%/2)*Console!$F$3,0)</f>
        <v>0</v>
      </c>
      <c r="O121" s="25"/>
      <c r="Q121" s="85"/>
    </row>
    <row r="122" spans="1:17">
      <c r="A122" s="4" t="e">
        <f>V27</f>
        <v>#REF!</v>
      </c>
      <c r="B122" t="e">
        <f t="shared" si="35"/>
        <v>#REF!</v>
      </c>
      <c r="C122" t="str">
        <f t="array" ref="C122">IFERROR(INDEX($B$103:$B$122, MATCH(0, COUNTIF($C$102:C121, $B$103:$B$122), 0)), "")</f>
        <v/>
      </c>
      <c r="D122">
        <v>20</v>
      </c>
      <c r="E122">
        <f t="shared" si="36"/>
        <v>0</v>
      </c>
      <c r="G122" s="14">
        <f>SUMIFS($E$71:$E$95,$C$71:$C$95,Console!$AT$5,Calculations!$D$71:$D$95,Calculations!C122)</f>
        <v>0</v>
      </c>
      <c r="H122" s="13">
        <f>IF(Console!$BQ$3=1,G122*(1-11.7%/2)*Console!$F$3,0)</f>
        <v>0</v>
      </c>
      <c r="O122" s="25"/>
      <c r="Q122" s="85"/>
    </row>
    <row r="123" spans="1:17">
      <c r="A123">
        <v>0</v>
      </c>
      <c r="H123" s="13" t="s">
        <v>294</v>
      </c>
      <c r="O123" s="25"/>
      <c r="Q123" s="85"/>
    </row>
    <row r="124" spans="1:17">
      <c r="O124" s="25"/>
      <c r="Q124" s="85"/>
    </row>
    <row r="125" spans="1:17">
      <c r="O125" s="25"/>
      <c r="Q125" s="85"/>
    </row>
    <row r="126" spans="1:17">
      <c r="O126" s="25"/>
      <c r="Q126" s="85"/>
    </row>
    <row r="127" spans="1:17">
      <c r="O127" s="25"/>
      <c r="Q127" s="85"/>
    </row>
    <row r="128" spans="1:17">
      <c r="O128" s="25"/>
      <c r="Q128" s="85"/>
    </row>
    <row r="129" spans="15:17">
      <c r="O129" s="25"/>
      <c r="Q129" s="85"/>
    </row>
    <row r="130" spans="15:17">
      <c r="O130" s="25"/>
      <c r="Q130" s="85"/>
    </row>
    <row r="131" spans="15:17">
      <c r="O131" s="25"/>
      <c r="Q131" s="85"/>
    </row>
    <row r="132" spans="15:17">
      <c r="O132" s="25"/>
      <c r="Q132"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1:X126"/>
  <sheetViews>
    <sheetView topLeftCell="A94" zoomScaleNormal="100" workbookViewId="0">
      <selection activeCell="M101" sqref="M101:M125"/>
    </sheetView>
  </sheetViews>
  <sheetFormatPr baseColWidth="10" defaultColWidth="9.1640625" defaultRowHeight="15"/>
  <cols>
    <col min="1" max="1" width="22.33203125" style="126" bestFit="1" customWidth="1"/>
    <col min="2" max="2" width="11.1640625" style="126" bestFit="1" customWidth="1"/>
    <col min="3" max="3" width="10.5" style="126" bestFit="1" customWidth="1"/>
    <col min="4" max="4" width="8.83203125" style="126" customWidth="1"/>
    <col min="5" max="5" width="15.83203125" style="126" bestFit="1" customWidth="1"/>
    <col min="6" max="6" width="12.5" style="126" bestFit="1" customWidth="1"/>
    <col min="7" max="7" width="22.6640625" style="126" bestFit="1" customWidth="1"/>
    <col min="8" max="9" width="12.5" style="126" bestFit="1" customWidth="1"/>
    <col min="10" max="11" width="11.5" style="126" bestFit="1" customWidth="1"/>
    <col min="12" max="12" width="12.5" style="126" bestFit="1" customWidth="1"/>
    <col min="13" max="16384" width="9.1640625" style="126"/>
  </cols>
  <sheetData>
    <row r="1" spans="1:24">
      <c r="E1" s="126" t="s">
        <v>134</v>
      </c>
    </row>
    <row r="2" spans="1:24">
      <c r="E2" s="126">
        <v>1</v>
      </c>
      <c r="F2" s="126">
        <v>2</v>
      </c>
      <c r="G2" s="126">
        <v>3</v>
      </c>
      <c r="H2" s="126">
        <v>4</v>
      </c>
      <c r="I2" s="126">
        <v>5</v>
      </c>
      <c r="J2" s="126">
        <v>6</v>
      </c>
      <c r="K2" s="126">
        <v>7</v>
      </c>
      <c r="L2" s="126">
        <v>8</v>
      </c>
      <c r="M2" s="126">
        <v>9</v>
      </c>
      <c r="N2" s="126">
        <v>10</v>
      </c>
      <c r="O2" s="126">
        <v>11</v>
      </c>
      <c r="P2" s="126">
        <v>12</v>
      </c>
      <c r="Q2" s="126">
        <v>13</v>
      </c>
      <c r="R2" s="126">
        <v>14</v>
      </c>
      <c r="S2" s="126">
        <v>15</v>
      </c>
      <c r="T2" s="126">
        <v>16</v>
      </c>
      <c r="U2" s="126">
        <v>17</v>
      </c>
      <c r="V2" s="126">
        <v>18</v>
      </c>
      <c r="W2" s="126">
        <v>19</v>
      </c>
      <c r="X2" s="126">
        <v>20</v>
      </c>
    </row>
    <row r="3" spans="1:24">
      <c r="A3" s="126" t="s">
        <v>145</v>
      </c>
      <c r="B3" s="126">
        <v>1</v>
      </c>
      <c r="E3" s="126">
        <f>Input!D26*Formulas!$B3</f>
        <v>0</v>
      </c>
      <c r="F3" s="126">
        <f>Input!F26*Formulas!$B3</f>
        <v>0</v>
      </c>
      <c r="G3" s="126">
        <f>Input!H26*Formulas!$B3</f>
        <v>0</v>
      </c>
      <c r="H3" s="126">
        <f>Input!J26*Formulas!$B3</f>
        <v>0</v>
      </c>
      <c r="I3" s="126">
        <f>Input!L26*Formulas!$B3</f>
        <v>0</v>
      </c>
      <c r="J3" s="126">
        <f>Input!N26*Formulas!$B3</f>
        <v>0</v>
      </c>
      <c r="K3" s="126">
        <f>Input!P26*Formulas!$B3</f>
        <v>0</v>
      </c>
      <c r="L3" s="126">
        <f>Input!R26*Formulas!$B3</f>
        <v>0</v>
      </c>
      <c r="M3" s="126">
        <f>Input!T26*Formulas!$B3</f>
        <v>0</v>
      </c>
      <c r="N3" s="126">
        <f>Input!V26*Formulas!$B3</f>
        <v>0</v>
      </c>
      <c r="O3" s="126">
        <f>Input!X26*Formulas!$B3</f>
        <v>0</v>
      </c>
      <c r="P3" s="126">
        <f>Input!Y26*Formulas!$B3</f>
        <v>0</v>
      </c>
      <c r="Q3" s="126">
        <f>Input!Z26*Formulas!$B3</f>
        <v>0</v>
      </c>
      <c r="R3" s="126">
        <f>Input!AA26*Formulas!$B3</f>
        <v>0</v>
      </c>
      <c r="S3" s="126">
        <f>Input!AB26*Formulas!$B3</f>
        <v>0</v>
      </c>
      <c r="T3" s="126">
        <f>Input!AC26*Formulas!$B3</f>
        <v>0</v>
      </c>
      <c r="U3" s="126">
        <f>Input!AD26*Formulas!$B3</f>
        <v>0</v>
      </c>
      <c r="V3" s="126">
        <f>Input!AE26*Formulas!$B3</f>
        <v>0</v>
      </c>
      <c r="W3" s="126">
        <f>Input!AF26*Formulas!$B3</f>
        <v>0</v>
      </c>
      <c r="X3" s="126">
        <f>Input!AG26*Formulas!$B3</f>
        <v>0</v>
      </c>
    </row>
    <row r="4" spans="1:24">
      <c r="A4" s="126" t="s">
        <v>702</v>
      </c>
      <c r="B4" s="126" t="s">
        <v>703</v>
      </c>
      <c r="C4" s="126" t="s">
        <v>704</v>
      </c>
    </row>
    <row r="5" spans="1:24">
      <c r="A5" s="126" t="s">
        <v>694</v>
      </c>
      <c r="B5" s="322">
        <v>1</v>
      </c>
      <c r="C5" s="126" t="s">
        <v>728</v>
      </c>
      <c r="E5" s="126">
        <f>Input!D28*Formulas!$B5</f>
        <v>0</v>
      </c>
      <c r="F5" s="126">
        <f>Input!F28*Formulas!$B5</f>
        <v>0</v>
      </c>
      <c r="G5" s="126">
        <f>Input!H28*Formulas!$B5</f>
        <v>0</v>
      </c>
      <c r="H5" s="126">
        <f>Input!J28*Formulas!$B5</f>
        <v>0</v>
      </c>
      <c r="I5" s="126">
        <f>Input!L28*Formulas!$B5</f>
        <v>0</v>
      </c>
      <c r="J5" s="126">
        <f>Input!N28*Formulas!$B5</f>
        <v>0</v>
      </c>
      <c r="K5" s="126">
        <f>Input!P28*Formulas!$B5</f>
        <v>0</v>
      </c>
      <c r="L5" s="126">
        <f>Input!R28*Formulas!$B5</f>
        <v>0</v>
      </c>
      <c r="M5" s="126">
        <f>Input!T28*Formulas!$B5</f>
        <v>0</v>
      </c>
      <c r="N5" s="126">
        <f>Input!V28*Formulas!$B5</f>
        <v>0</v>
      </c>
      <c r="O5" s="126">
        <f>Input!X28*Formulas!$B5</f>
        <v>0</v>
      </c>
      <c r="P5" s="126">
        <f>Input!Y28*Formulas!$B5</f>
        <v>0</v>
      </c>
      <c r="Q5" s="126">
        <f>Input!Z28*Formulas!$B5</f>
        <v>0</v>
      </c>
      <c r="R5" s="126">
        <f>Input!AA28*Formulas!$B5</f>
        <v>0</v>
      </c>
      <c r="S5" s="126">
        <f>Input!AB28*Formulas!$B5</f>
        <v>0</v>
      </c>
      <c r="T5" s="126">
        <f>Input!AC28*Formulas!$B5</f>
        <v>0</v>
      </c>
      <c r="U5" s="126">
        <f>Input!AD28*Formulas!$B5</f>
        <v>0</v>
      </c>
      <c r="V5" s="126">
        <f>Input!AE28*Formulas!$B5</f>
        <v>0</v>
      </c>
      <c r="W5" s="126">
        <f>Input!AF28*Formulas!$B5</f>
        <v>0</v>
      </c>
      <c r="X5" s="126">
        <f>Input!AG28*Formulas!$B5</f>
        <v>0</v>
      </c>
    </row>
    <row r="6" spans="1:24">
      <c r="A6" s="126" t="s">
        <v>695</v>
      </c>
      <c r="B6" s="322">
        <v>1</v>
      </c>
      <c r="C6" s="126" t="s">
        <v>728</v>
      </c>
      <c r="E6" s="126">
        <f>Input!D29*Formulas!$B6</f>
        <v>0</v>
      </c>
      <c r="F6" s="126">
        <f>Input!F29*Formulas!$B6</f>
        <v>0</v>
      </c>
      <c r="G6" s="126">
        <f>Input!H29*Formulas!$B6</f>
        <v>0</v>
      </c>
      <c r="H6" s="126">
        <f>Input!J29*Formulas!$B6</f>
        <v>0</v>
      </c>
      <c r="I6" s="126">
        <f>Input!L29*Formulas!$B6</f>
        <v>0</v>
      </c>
      <c r="J6" s="126">
        <f>Input!N29*Formulas!$B6</f>
        <v>0</v>
      </c>
      <c r="K6" s="126">
        <f>Input!P29*Formulas!$B6</f>
        <v>0</v>
      </c>
      <c r="L6" s="126">
        <f>Input!R29*Formulas!$B6</f>
        <v>0</v>
      </c>
      <c r="M6" s="126">
        <f>Input!T29*Formulas!$B6</f>
        <v>0</v>
      </c>
      <c r="N6" s="126">
        <f>Input!V29*Formulas!$B6</f>
        <v>0</v>
      </c>
      <c r="O6" s="126">
        <f>Input!X29*Formulas!$B6</f>
        <v>0</v>
      </c>
      <c r="P6" s="126">
        <f>Input!Y29*Formulas!$B6</f>
        <v>0</v>
      </c>
      <c r="Q6" s="126">
        <f>Input!Z29*Formulas!$B6</f>
        <v>0</v>
      </c>
      <c r="R6" s="126">
        <f>Input!AA29*Formulas!$B6</f>
        <v>0</v>
      </c>
      <c r="S6" s="126">
        <f>Input!AB29*Formulas!$B6</f>
        <v>0</v>
      </c>
      <c r="T6" s="126">
        <f>Input!AC29*Formulas!$B6</f>
        <v>0</v>
      </c>
      <c r="U6" s="126">
        <f>Input!AD29*Formulas!$B6</f>
        <v>0</v>
      </c>
      <c r="V6" s="126">
        <f>Input!AE29*Formulas!$B6</f>
        <v>0</v>
      </c>
      <c r="W6" s="126">
        <f>Input!AF29*Formulas!$B6</f>
        <v>0</v>
      </c>
      <c r="X6" s="126">
        <f>Input!AG29*Formulas!$B6</f>
        <v>0</v>
      </c>
    </row>
    <row r="7" spans="1:24">
      <c r="A7" s="126" t="s">
        <v>698</v>
      </c>
      <c r="B7" s="322">
        <v>1</v>
      </c>
      <c r="C7" s="126" t="s">
        <v>728</v>
      </c>
      <c r="E7" s="126">
        <f>Input!D30*Formulas!$B7</f>
        <v>0</v>
      </c>
      <c r="F7" s="126">
        <f>Input!F30*Formulas!$B7</f>
        <v>0</v>
      </c>
      <c r="G7" s="126">
        <f>Input!H30*Formulas!$B7</f>
        <v>0</v>
      </c>
      <c r="H7" s="126">
        <f>Input!J30*Formulas!$B7</f>
        <v>0</v>
      </c>
      <c r="I7" s="126">
        <f>Input!L30*Formulas!$B7</f>
        <v>0</v>
      </c>
      <c r="J7" s="126">
        <f>Input!N30*Formulas!$B7</f>
        <v>0</v>
      </c>
      <c r="K7" s="126">
        <f>Input!P30*Formulas!$B7</f>
        <v>0</v>
      </c>
      <c r="L7" s="126">
        <f>Input!R30*Formulas!$B7</f>
        <v>0</v>
      </c>
      <c r="M7" s="126">
        <f>Input!T30*Formulas!$B7</f>
        <v>0</v>
      </c>
      <c r="N7" s="126">
        <f>Input!V30*Formulas!$B7</f>
        <v>0</v>
      </c>
      <c r="O7" s="126">
        <f>Input!X30*Formulas!$B7</f>
        <v>0</v>
      </c>
      <c r="P7" s="126">
        <f>Input!Y30*Formulas!$B7</f>
        <v>0</v>
      </c>
      <c r="Q7" s="126">
        <f>Input!Z30*Formulas!$B7</f>
        <v>0</v>
      </c>
      <c r="R7" s="126">
        <f>Input!AA30*Formulas!$B7</f>
        <v>0</v>
      </c>
      <c r="S7" s="126">
        <f>Input!AB30*Formulas!$B7</f>
        <v>0</v>
      </c>
      <c r="T7" s="126">
        <f>Input!AC30*Formulas!$B7</f>
        <v>0</v>
      </c>
      <c r="U7" s="126">
        <f>Input!AD30*Formulas!$B7</f>
        <v>0</v>
      </c>
      <c r="V7" s="126">
        <f>Input!AE30*Formulas!$B7</f>
        <v>0</v>
      </c>
      <c r="W7" s="126">
        <f>Input!AF30*Formulas!$B7</f>
        <v>0</v>
      </c>
      <c r="X7" s="126">
        <f>Input!AG30*Formulas!$B7</f>
        <v>0</v>
      </c>
    </row>
    <row r="8" spans="1:24">
      <c r="A8" s="126" t="s">
        <v>699</v>
      </c>
      <c r="B8" s="322">
        <v>1</v>
      </c>
      <c r="C8" s="126" t="s">
        <v>728</v>
      </c>
      <c r="E8" s="126">
        <f>Input!D31*Formulas!$B8</f>
        <v>0</v>
      </c>
      <c r="F8" s="126">
        <f>Input!F31*Formulas!$B8</f>
        <v>0</v>
      </c>
      <c r="G8" s="126">
        <f>Input!H31*Formulas!$B8</f>
        <v>0</v>
      </c>
      <c r="H8" s="126">
        <f>Input!J31*Formulas!$B8</f>
        <v>0</v>
      </c>
      <c r="I8" s="126">
        <f>Input!L31*Formulas!$B8</f>
        <v>0</v>
      </c>
      <c r="J8" s="126">
        <f>Input!N31*Formulas!$B8</f>
        <v>0</v>
      </c>
      <c r="K8" s="126">
        <f>Input!P31*Formulas!$B8</f>
        <v>0</v>
      </c>
      <c r="L8" s="126">
        <f>Input!R31*Formulas!$B8</f>
        <v>0</v>
      </c>
      <c r="M8" s="126">
        <f>Input!T31*Formulas!$B8</f>
        <v>0</v>
      </c>
      <c r="N8" s="126">
        <f>Input!V31*Formulas!$B8</f>
        <v>0</v>
      </c>
      <c r="O8" s="126">
        <f>Input!X31*Formulas!$B8</f>
        <v>0</v>
      </c>
      <c r="P8" s="126">
        <f>Input!Y31*Formulas!$B8</f>
        <v>0</v>
      </c>
      <c r="Q8" s="126">
        <f>Input!Z31*Formulas!$B8</f>
        <v>0</v>
      </c>
      <c r="R8" s="126">
        <f>Input!AA31*Formulas!$B8</f>
        <v>0</v>
      </c>
      <c r="S8" s="126">
        <f>Input!AB31*Formulas!$B8</f>
        <v>0</v>
      </c>
      <c r="T8" s="126">
        <f>Input!AC31*Formulas!$B8</f>
        <v>0</v>
      </c>
      <c r="U8" s="126">
        <f>Input!AD31*Formulas!$B8</f>
        <v>0</v>
      </c>
      <c r="V8" s="126">
        <f>Input!AE31*Formulas!$B8</f>
        <v>0</v>
      </c>
      <c r="W8" s="126">
        <f>Input!AF31*Formulas!$B8</f>
        <v>0</v>
      </c>
      <c r="X8" s="126">
        <f>Input!AG31*Formulas!$B8</f>
        <v>0</v>
      </c>
    </row>
    <row r="9" spans="1:24">
      <c r="A9" s="126" t="s">
        <v>700</v>
      </c>
      <c r="B9" s="322">
        <v>1</v>
      </c>
      <c r="C9" s="126" t="s">
        <v>728</v>
      </c>
      <c r="E9" s="126">
        <f>Input!D32*Formulas!$B9</f>
        <v>0</v>
      </c>
      <c r="F9" s="126">
        <f>Input!F32*Formulas!$B9</f>
        <v>0</v>
      </c>
      <c r="G9" s="126">
        <f>Input!H32*Formulas!$B9</f>
        <v>0</v>
      </c>
      <c r="H9" s="126">
        <f>Input!J32*Formulas!$B9</f>
        <v>0</v>
      </c>
      <c r="I9" s="126">
        <f>Input!L32*Formulas!$B9</f>
        <v>0</v>
      </c>
      <c r="J9" s="126">
        <f>Input!N32*Formulas!$B9</f>
        <v>0</v>
      </c>
      <c r="K9" s="126">
        <f>Input!P32*Formulas!$B9</f>
        <v>0</v>
      </c>
      <c r="L9" s="126">
        <f>Input!R32*Formulas!$B9</f>
        <v>0</v>
      </c>
      <c r="M9" s="126">
        <f>Input!T32*Formulas!$B9</f>
        <v>0</v>
      </c>
      <c r="N9" s="126">
        <f>Input!V32*Formulas!$B9</f>
        <v>0</v>
      </c>
      <c r="O9" s="126">
        <f>Input!X32*Formulas!$B9</f>
        <v>0</v>
      </c>
      <c r="P9" s="126">
        <f>Input!Y32*Formulas!$B9</f>
        <v>0</v>
      </c>
      <c r="Q9" s="126">
        <f>Input!Z32*Formulas!$B9</f>
        <v>0</v>
      </c>
      <c r="R9" s="126">
        <f>Input!AA32*Formulas!$B9</f>
        <v>0</v>
      </c>
      <c r="S9" s="126">
        <f>Input!AB32*Formulas!$B9</f>
        <v>0</v>
      </c>
      <c r="T9" s="126">
        <f>Input!AC32*Formulas!$B9</f>
        <v>0</v>
      </c>
      <c r="U9" s="126">
        <f>Input!AD32*Formulas!$B9</f>
        <v>0</v>
      </c>
      <c r="V9" s="126">
        <f>Input!AE32*Formulas!$B9</f>
        <v>0</v>
      </c>
      <c r="W9" s="126">
        <f>Input!AF32*Formulas!$B9</f>
        <v>0</v>
      </c>
      <c r="X9" s="126">
        <f>Input!AG32*Formulas!$B9</f>
        <v>0</v>
      </c>
    </row>
    <row r="10" spans="1:24">
      <c r="A10" s="126" t="s">
        <v>701</v>
      </c>
      <c r="B10" s="322">
        <v>1</v>
      </c>
      <c r="C10" s="126" t="s">
        <v>728</v>
      </c>
      <c r="E10" s="126">
        <f>Input!D33*Formulas!$B10</f>
        <v>0</v>
      </c>
      <c r="F10" s="126">
        <f>Input!F33*Formulas!$B10</f>
        <v>0</v>
      </c>
      <c r="G10" s="126">
        <f>Input!H33*Formulas!$B10</f>
        <v>0</v>
      </c>
      <c r="H10" s="126">
        <f>Input!J33*Formulas!$B10</f>
        <v>0</v>
      </c>
      <c r="I10" s="126">
        <f>Input!L33*Formulas!$B10</f>
        <v>0</v>
      </c>
      <c r="J10" s="126">
        <f>Input!N33*Formulas!$B10</f>
        <v>0</v>
      </c>
      <c r="K10" s="126">
        <f>Input!P33*Formulas!$B10</f>
        <v>0</v>
      </c>
      <c r="L10" s="126">
        <f>Input!R33*Formulas!$B10</f>
        <v>0</v>
      </c>
      <c r="M10" s="126">
        <f>Input!T33*Formulas!$B10</f>
        <v>0</v>
      </c>
      <c r="N10" s="126">
        <f>Input!V33*Formulas!$B10</f>
        <v>0</v>
      </c>
      <c r="O10" s="126">
        <f>Input!X33*Formulas!$B10</f>
        <v>0</v>
      </c>
      <c r="P10" s="126">
        <f>Input!Y33*Formulas!$B10</f>
        <v>0</v>
      </c>
      <c r="Q10" s="126">
        <f>Input!Z33*Formulas!$B10</f>
        <v>0</v>
      </c>
      <c r="R10" s="126">
        <f>Input!AA33*Formulas!$B10</f>
        <v>0</v>
      </c>
      <c r="S10" s="126">
        <f>Input!AB33*Formulas!$B10</f>
        <v>0</v>
      </c>
      <c r="T10" s="126">
        <f>Input!AC33*Formulas!$B10</f>
        <v>0</v>
      </c>
      <c r="U10" s="126">
        <f>Input!AD33*Formulas!$B10</f>
        <v>0</v>
      </c>
      <c r="V10" s="126">
        <f>Input!AE33*Formulas!$B10</f>
        <v>0</v>
      </c>
      <c r="W10" s="126">
        <f>Input!AF33*Formulas!$B10</f>
        <v>0</v>
      </c>
      <c r="X10" s="126">
        <f>Input!AG33*Formulas!$B10</f>
        <v>0</v>
      </c>
    </row>
    <row r="13" spans="1:24">
      <c r="A13" s="126" t="s">
        <v>46</v>
      </c>
      <c r="B13" s="322">
        <v>0.8</v>
      </c>
      <c r="C13" s="126" t="s">
        <v>728</v>
      </c>
      <c r="E13" s="126">
        <f>Input!D36*Formulas!$B13</f>
        <v>0</v>
      </c>
      <c r="F13" s="126">
        <f>Input!F36*Formulas!$B13</f>
        <v>0</v>
      </c>
      <c r="G13" s="126">
        <f>Input!H36*Formulas!$B13</f>
        <v>0</v>
      </c>
      <c r="H13" s="126">
        <f>Input!J36*Formulas!$B13</f>
        <v>0</v>
      </c>
      <c r="I13" s="126">
        <f>Input!L36*Formulas!$B13</f>
        <v>0</v>
      </c>
      <c r="J13" s="126">
        <f>Input!N36*Formulas!$B13</f>
        <v>0</v>
      </c>
      <c r="K13" s="126">
        <f>Input!P36*Formulas!$B13</f>
        <v>0</v>
      </c>
      <c r="L13" s="126">
        <f>Input!R36*Formulas!$B13</f>
        <v>0</v>
      </c>
      <c r="M13" s="126">
        <f>Input!T36*Formulas!$B13</f>
        <v>0</v>
      </c>
      <c r="N13" s="126">
        <f>Input!V36*Formulas!$B13</f>
        <v>0</v>
      </c>
      <c r="O13" s="126">
        <f>Input!X36*Formulas!$B13</f>
        <v>0</v>
      </c>
      <c r="P13" s="126">
        <f>Input!Y36*Formulas!$B13</f>
        <v>0</v>
      </c>
      <c r="Q13" s="126">
        <f>Input!Z36*Formulas!$B13</f>
        <v>0</v>
      </c>
      <c r="R13" s="126">
        <f>Input!AA36*Formulas!$B13</f>
        <v>0</v>
      </c>
      <c r="S13" s="126">
        <f>Input!AB36*Formulas!$B13</f>
        <v>0</v>
      </c>
      <c r="T13" s="126">
        <f>Input!AC36*Formulas!$B13</f>
        <v>0</v>
      </c>
      <c r="U13" s="126">
        <f>Input!AD36*Formulas!$B13</f>
        <v>0</v>
      </c>
      <c r="V13" s="126">
        <f>Input!AE36*Formulas!$B13</f>
        <v>0</v>
      </c>
      <c r="W13" s="126">
        <f>Input!AF36*Formulas!$B13</f>
        <v>0</v>
      </c>
      <c r="X13" s="126">
        <f>Input!AG36*Formulas!$B13</f>
        <v>0</v>
      </c>
    </row>
    <row r="14" spans="1:24">
      <c r="A14" s="126" t="s">
        <v>45</v>
      </c>
      <c r="B14" s="322">
        <v>0.8</v>
      </c>
      <c r="C14" s="126" t="s">
        <v>728</v>
      </c>
      <c r="E14" s="126">
        <f>Input!D37*Formulas!$B14</f>
        <v>0</v>
      </c>
      <c r="F14" s="126">
        <f>Input!F37*Formulas!$B14</f>
        <v>0</v>
      </c>
      <c r="G14" s="126">
        <f>Input!H37*Formulas!$B14</f>
        <v>0</v>
      </c>
      <c r="H14" s="126">
        <f>Input!J37*Formulas!$B14</f>
        <v>0</v>
      </c>
      <c r="I14" s="126">
        <f>Input!L37*Formulas!$B14</f>
        <v>0</v>
      </c>
      <c r="J14" s="126">
        <f>Input!N37*Formulas!$B14</f>
        <v>0</v>
      </c>
      <c r="K14" s="126">
        <f>Input!P37*Formulas!$B14</f>
        <v>0</v>
      </c>
      <c r="L14" s="126">
        <f>Input!R37*Formulas!$B14</f>
        <v>0</v>
      </c>
      <c r="M14" s="126">
        <f>Input!T37*Formulas!$B14</f>
        <v>0</v>
      </c>
      <c r="N14" s="126">
        <f>Input!V37*Formulas!$B14</f>
        <v>0</v>
      </c>
      <c r="O14" s="126">
        <f>Input!X37*Formulas!$B14</f>
        <v>0</v>
      </c>
      <c r="P14" s="126">
        <f>Input!Y37*Formulas!$B14</f>
        <v>0</v>
      </c>
      <c r="Q14" s="126">
        <f>Input!Z37*Formulas!$B14</f>
        <v>0</v>
      </c>
      <c r="R14" s="126">
        <f>Input!AA37*Formulas!$B14</f>
        <v>0</v>
      </c>
      <c r="S14" s="126">
        <f>Input!AB37*Formulas!$B14</f>
        <v>0</v>
      </c>
      <c r="T14" s="126">
        <f>Input!AC37*Formulas!$B14</f>
        <v>0</v>
      </c>
      <c r="U14" s="126">
        <f>Input!AD37*Formulas!$B14</f>
        <v>0</v>
      </c>
      <c r="V14" s="126">
        <f>Input!AE37*Formulas!$B14</f>
        <v>0</v>
      </c>
      <c r="W14" s="126">
        <f>Input!AF37*Formulas!$B14</f>
        <v>0</v>
      </c>
      <c r="X14" s="126">
        <f>Input!AG37*Formulas!$B14</f>
        <v>0</v>
      </c>
    </row>
    <row r="15" spans="1:24">
      <c r="A15" s="126" t="s">
        <v>48</v>
      </c>
      <c r="B15" s="322">
        <v>0.8</v>
      </c>
      <c r="C15" s="126" t="s">
        <v>728</v>
      </c>
      <c r="E15" s="126">
        <f>Input!D38*Formulas!$B15</f>
        <v>0</v>
      </c>
      <c r="F15" s="126">
        <f>Input!F38*Formulas!$B15</f>
        <v>0</v>
      </c>
      <c r="G15" s="126">
        <f>Input!H38*Formulas!$B15</f>
        <v>0</v>
      </c>
      <c r="H15" s="126">
        <f>Input!J38*Formulas!$B15</f>
        <v>0</v>
      </c>
      <c r="I15" s="126">
        <f>Input!L38*Formulas!$B15</f>
        <v>0</v>
      </c>
      <c r="J15" s="126">
        <f>Input!N38*Formulas!$B15</f>
        <v>0</v>
      </c>
      <c r="K15" s="126">
        <f>Input!P38*Formulas!$B15</f>
        <v>0</v>
      </c>
      <c r="L15" s="126">
        <f>Input!R38*Formulas!$B15</f>
        <v>0</v>
      </c>
      <c r="M15" s="126">
        <f>Input!T38*Formulas!$B15</f>
        <v>0</v>
      </c>
      <c r="N15" s="126">
        <f>Input!V38*Formulas!$B15</f>
        <v>0</v>
      </c>
      <c r="O15" s="126">
        <f>Input!X38*Formulas!$B15</f>
        <v>0</v>
      </c>
      <c r="P15" s="126">
        <f>Input!Y38*Formulas!$B15</f>
        <v>0</v>
      </c>
      <c r="Q15" s="126">
        <f>Input!Z38*Formulas!$B15</f>
        <v>0</v>
      </c>
      <c r="R15" s="126">
        <f>Input!AA38*Formulas!$B15</f>
        <v>0</v>
      </c>
      <c r="S15" s="126">
        <f>Input!AB38*Formulas!$B15</f>
        <v>0</v>
      </c>
      <c r="T15" s="126">
        <f>Input!AC38*Formulas!$B15</f>
        <v>0</v>
      </c>
      <c r="U15" s="126">
        <f>Input!AD38*Formulas!$B15</f>
        <v>0</v>
      </c>
      <c r="V15" s="126">
        <f>Input!AE38*Formulas!$B15</f>
        <v>0</v>
      </c>
      <c r="W15" s="126">
        <f>Input!AF38*Formulas!$B15</f>
        <v>0</v>
      </c>
      <c r="X15" s="126">
        <f>Input!AG38*Formulas!$B15</f>
        <v>0</v>
      </c>
    </row>
    <row r="16" spans="1:24">
      <c r="A16" s="126" t="s">
        <v>324</v>
      </c>
      <c r="B16" s="322">
        <v>0.9</v>
      </c>
      <c r="C16" s="126" t="s">
        <v>728</v>
      </c>
      <c r="E16" s="126">
        <f>Input!D39*Formulas!$B16</f>
        <v>0</v>
      </c>
      <c r="F16" s="126">
        <f>Input!F39*Formulas!$B16</f>
        <v>0</v>
      </c>
      <c r="G16" s="126">
        <f>Input!H39*Formulas!$B16</f>
        <v>0</v>
      </c>
      <c r="H16" s="126">
        <f>Input!J39*Formulas!$B16</f>
        <v>0</v>
      </c>
      <c r="I16" s="126">
        <f>Input!L39*Formulas!$B16</f>
        <v>0</v>
      </c>
      <c r="J16" s="126">
        <f>Input!N39*Formulas!$B16</f>
        <v>0</v>
      </c>
      <c r="K16" s="126">
        <f>Input!P39*Formulas!$B16</f>
        <v>0</v>
      </c>
      <c r="L16" s="126">
        <f>Input!R39*Formulas!$B16</f>
        <v>0</v>
      </c>
      <c r="M16" s="126">
        <f>Input!T39*Formulas!$B16</f>
        <v>0</v>
      </c>
      <c r="N16" s="126">
        <f>Input!V39*Formulas!$B16</f>
        <v>0</v>
      </c>
      <c r="O16" s="126">
        <f>Input!X39*Formulas!$B16</f>
        <v>0</v>
      </c>
      <c r="P16" s="126">
        <f>Input!Y39*Formulas!$B16</f>
        <v>0</v>
      </c>
      <c r="Q16" s="126">
        <f>Input!Z39*Formulas!$B16</f>
        <v>0</v>
      </c>
      <c r="R16" s="126">
        <f>Input!AA39*Formulas!$B16</f>
        <v>0</v>
      </c>
      <c r="S16" s="126">
        <f>Input!AB39*Formulas!$B16</f>
        <v>0</v>
      </c>
      <c r="T16" s="126">
        <f>Input!AC39*Formulas!$B16</f>
        <v>0</v>
      </c>
      <c r="U16" s="126">
        <f>Input!AD39*Formulas!$B16</f>
        <v>0</v>
      </c>
      <c r="V16" s="126">
        <f>Input!AE39*Formulas!$B16</f>
        <v>0</v>
      </c>
      <c r="W16" s="126">
        <f>Input!AF39*Formulas!$B16</f>
        <v>0</v>
      </c>
      <c r="X16" s="126">
        <f>Input!AG39*Formulas!$B16</f>
        <v>0</v>
      </c>
    </row>
    <row r="17" spans="1:24">
      <c r="A17" s="126" t="s">
        <v>698</v>
      </c>
      <c r="B17" s="322">
        <v>1</v>
      </c>
      <c r="C17" s="126" t="s">
        <v>728</v>
      </c>
      <c r="E17" s="126">
        <f>Input!D40*Formulas!$B17</f>
        <v>0</v>
      </c>
      <c r="F17" s="126">
        <f>Input!F40*Formulas!$B17</f>
        <v>0</v>
      </c>
      <c r="G17" s="126">
        <f>Input!H40*Formulas!$B17</f>
        <v>0</v>
      </c>
      <c r="H17" s="126">
        <f>Input!J40*Formulas!$B17</f>
        <v>0</v>
      </c>
      <c r="I17" s="126">
        <f>Input!L40*Formulas!$B17</f>
        <v>0</v>
      </c>
      <c r="J17" s="126">
        <f>Input!N40*Formulas!$B17</f>
        <v>0</v>
      </c>
      <c r="K17" s="126">
        <f>Input!P40*Formulas!$B17</f>
        <v>0</v>
      </c>
      <c r="L17" s="126">
        <f>Input!R40*Formulas!$B17</f>
        <v>0</v>
      </c>
      <c r="M17" s="126">
        <f>Input!T40*Formulas!$B17</f>
        <v>0</v>
      </c>
      <c r="N17" s="126">
        <f>Input!V40*Formulas!$B17</f>
        <v>0</v>
      </c>
      <c r="O17" s="126">
        <f>Input!X40*Formulas!$B17</f>
        <v>0</v>
      </c>
      <c r="P17" s="126">
        <f>Input!Y40*Formulas!$B17</f>
        <v>0</v>
      </c>
      <c r="Q17" s="126">
        <f>Input!Z40*Formulas!$B17</f>
        <v>0</v>
      </c>
      <c r="R17" s="126">
        <f>Input!AA40*Formulas!$B17</f>
        <v>0</v>
      </c>
      <c r="S17" s="126">
        <f>Input!AB40*Formulas!$B17</f>
        <v>0</v>
      </c>
      <c r="T17" s="126">
        <f>Input!AC40*Formulas!$B17</f>
        <v>0</v>
      </c>
      <c r="U17" s="126">
        <f>Input!AD40*Formulas!$B17</f>
        <v>0</v>
      </c>
      <c r="V17" s="126">
        <f>Input!AE40*Formulas!$B17</f>
        <v>0</v>
      </c>
      <c r="W17" s="126">
        <f>Input!AF40*Formulas!$B17</f>
        <v>0</v>
      </c>
      <c r="X17" s="126">
        <f>Input!AG40*Formulas!$B17</f>
        <v>0</v>
      </c>
    </row>
    <row r="18" spans="1:24">
      <c r="A18" s="126" t="s">
        <v>699</v>
      </c>
      <c r="B18" s="322">
        <v>1</v>
      </c>
      <c r="C18" s="126" t="s">
        <v>728</v>
      </c>
      <c r="E18" s="126">
        <f>Input!D41*Formulas!$B18</f>
        <v>0</v>
      </c>
      <c r="F18" s="126">
        <f>Input!F41*Formulas!$B18</f>
        <v>0</v>
      </c>
      <c r="G18" s="126">
        <f>Input!H41*Formulas!$B18</f>
        <v>0</v>
      </c>
      <c r="H18" s="126">
        <f>Input!J41*Formulas!$B18</f>
        <v>0</v>
      </c>
      <c r="I18" s="126">
        <f>Input!L41*Formulas!$B18</f>
        <v>0</v>
      </c>
      <c r="J18" s="126">
        <f>Input!N41*Formulas!$B18</f>
        <v>0</v>
      </c>
      <c r="K18" s="126">
        <f>Input!P41*Formulas!$B18</f>
        <v>0</v>
      </c>
      <c r="L18" s="126">
        <f>Input!R41*Formulas!$B18</f>
        <v>0</v>
      </c>
      <c r="M18" s="126">
        <f>Input!T41*Formulas!$B18</f>
        <v>0</v>
      </c>
      <c r="N18" s="126">
        <f>Input!V41*Formulas!$B18</f>
        <v>0</v>
      </c>
      <c r="O18" s="126">
        <f>Input!X41*Formulas!$B18</f>
        <v>0</v>
      </c>
      <c r="P18" s="126">
        <f>Input!Y41*Formulas!$B18</f>
        <v>0</v>
      </c>
      <c r="Q18" s="126">
        <f>Input!Z41*Formulas!$B18</f>
        <v>0</v>
      </c>
      <c r="R18" s="126">
        <f>Input!AA41*Formulas!$B18</f>
        <v>0</v>
      </c>
      <c r="S18" s="126">
        <f>Input!AB41*Formulas!$B18</f>
        <v>0</v>
      </c>
      <c r="T18" s="126">
        <f>Input!AC41*Formulas!$B18</f>
        <v>0</v>
      </c>
      <c r="U18" s="126">
        <f>Input!AD41*Formulas!$B18</f>
        <v>0</v>
      </c>
      <c r="V18" s="126">
        <f>Input!AE41*Formulas!$B18</f>
        <v>0</v>
      </c>
      <c r="W18" s="126">
        <f>Input!AF41*Formulas!$B18</f>
        <v>0</v>
      </c>
      <c r="X18" s="126">
        <f>Input!AG41*Formulas!$B18</f>
        <v>0</v>
      </c>
    </row>
    <row r="19" spans="1:24">
      <c r="A19" s="126" t="s">
        <v>700</v>
      </c>
      <c r="B19" s="322">
        <v>1</v>
      </c>
      <c r="C19" s="126" t="s">
        <v>728</v>
      </c>
      <c r="E19" s="126">
        <f>Input!D42*Formulas!$B19</f>
        <v>0</v>
      </c>
      <c r="F19" s="126">
        <f>Input!F42*Formulas!$B19</f>
        <v>0</v>
      </c>
      <c r="G19" s="126">
        <f>Input!H42*Formulas!$B19</f>
        <v>0</v>
      </c>
      <c r="H19" s="126">
        <f>Input!J42*Formulas!$B19</f>
        <v>0</v>
      </c>
      <c r="I19" s="126">
        <f>Input!L42*Formulas!$B19</f>
        <v>0</v>
      </c>
      <c r="J19" s="126">
        <f>Input!N42*Formulas!$B19</f>
        <v>0</v>
      </c>
      <c r="K19" s="126">
        <f>Input!P42*Formulas!$B19</f>
        <v>0</v>
      </c>
      <c r="L19" s="126">
        <f>Input!R42*Formulas!$B19</f>
        <v>0</v>
      </c>
      <c r="M19" s="126">
        <f>Input!T42*Formulas!$B19</f>
        <v>0</v>
      </c>
      <c r="N19" s="126">
        <f>Input!V42*Formulas!$B19</f>
        <v>0</v>
      </c>
      <c r="O19" s="126">
        <f>Input!X42*Formulas!$B19</f>
        <v>0</v>
      </c>
      <c r="P19" s="126">
        <f>Input!Y42*Formulas!$B19</f>
        <v>0</v>
      </c>
      <c r="Q19" s="126">
        <f>Input!Z42*Formulas!$B19</f>
        <v>0</v>
      </c>
      <c r="R19" s="126">
        <f>Input!AA42*Formulas!$B19</f>
        <v>0</v>
      </c>
      <c r="S19" s="126">
        <f>Input!AB42*Formulas!$B19</f>
        <v>0</v>
      </c>
      <c r="T19" s="126">
        <f>Input!AC42*Formulas!$B19</f>
        <v>0</v>
      </c>
      <c r="U19" s="126">
        <f>Input!AD42*Formulas!$B19</f>
        <v>0</v>
      </c>
      <c r="V19" s="126">
        <f>Input!AE42*Formulas!$B19</f>
        <v>0</v>
      </c>
      <c r="W19" s="126">
        <f>Input!AF42*Formulas!$B19</f>
        <v>0</v>
      </c>
      <c r="X19" s="126">
        <f>Input!AG42*Formulas!$B19</f>
        <v>0</v>
      </c>
    </row>
    <row r="20" spans="1:24">
      <c r="A20" s="126" t="s">
        <v>701</v>
      </c>
      <c r="B20" s="322">
        <v>1</v>
      </c>
      <c r="C20" s="126" t="s">
        <v>728</v>
      </c>
      <c r="E20" s="126">
        <f>Input!D43*Formulas!$B20</f>
        <v>0</v>
      </c>
      <c r="F20" s="126">
        <f>Input!F43*Formulas!$B20</f>
        <v>0</v>
      </c>
      <c r="G20" s="126">
        <f>Input!H43*Formulas!$B20</f>
        <v>0</v>
      </c>
      <c r="H20" s="126">
        <f>Input!J43*Formulas!$B20</f>
        <v>0</v>
      </c>
      <c r="I20" s="126">
        <f>Input!L43*Formulas!$B20</f>
        <v>0</v>
      </c>
      <c r="J20" s="126">
        <f>Input!N43*Formulas!$B20</f>
        <v>0</v>
      </c>
      <c r="K20" s="126">
        <f>Input!P43*Formulas!$B20</f>
        <v>0</v>
      </c>
      <c r="L20" s="126">
        <f>Input!R43*Formulas!$B20</f>
        <v>0</v>
      </c>
      <c r="M20" s="126">
        <f>Input!T43*Formulas!$B20</f>
        <v>0</v>
      </c>
      <c r="N20" s="126">
        <f>Input!V43*Formulas!$B20</f>
        <v>0</v>
      </c>
      <c r="O20" s="126">
        <f>Input!X43*Formulas!$B20</f>
        <v>0</v>
      </c>
      <c r="P20" s="126">
        <f>Input!Y43*Formulas!$B20</f>
        <v>0</v>
      </c>
      <c r="Q20" s="126">
        <f>Input!Z43*Formulas!$B20</f>
        <v>0</v>
      </c>
      <c r="R20" s="126">
        <f>Input!AA43*Formulas!$B20</f>
        <v>0</v>
      </c>
      <c r="S20" s="126">
        <f>Input!AB43*Formulas!$B20</f>
        <v>0</v>
      </c>
      <c r="T20" s="126">
        <f>Input!AC43*Formulas!$B20</f>
        <v>0</v>
      </c>
      <c r="U20" s="126">
        <f>Input!AD43*Formulas!$B20</f>
        <v>0</v>
      </c>
      <c r="V20" s="126">
        <f>Input!AE43*Formulas!$B20</f>
        <v>0</v>
      </c>
      <c r="W20" s="126">
        <f>Input!AF43*Formulas!$B20</f>
        <v>0</v>
      </c>
      <c r="X20" s="126">
        <f>Input!AG43*Formulas!$B20</f>
        <v>0</v>
      </c>
    </row>
    <row r="23" spans="1:24">
      <c r="A23" s="126" t="s">
        <v>51</v>
      </c>
      <c r="B23" s="322">
        <v>0.8</v>
      </c>
      <c r="C23" s="126" t="s">
        <v>728</v>
      </c>
      <c r="E23" s="126">
        <f>Input!D46*Formulas!$B23</f>
        <v>0</v>
      </c>
      <c r="F23" s="126">
        <f>Input!F46*Formulas!$B23</f>
        <v>0</v>
      </c>
      <c r="G23" s="126">
        <f>Input!H46*Formulas!$B23</f>
        <v>0</v>
      </c>
      <c r="H23" s="126">
        <f>Input!J46*Formulas!$B23</f>
        <v>0</v>
      </c>
      <c r="I23" s="126">
        <f>Input!L46*Formulas!$B23</f>
        <v>0</v>
      </c>
      <c r="J23" s="126">
        <f>Input!N46*Formulas!$B23</f>
        <v>0</v>
      </c>
      <c r="K23" s="126">
        <f>Input!P46*Formulas!$B23</f>
        <v>0</v>
      </c>
      <c r="L23" s="126">
        <f>Input!R46*Formulas!$B23</f>
        <v>0</v>
      </c>
      <c r="M23" s="126">
        <f>Input!T46*Formulas!$B23</f>
        <v>0</v>
      </c>
      <c r="N23" s="126">
        <f>Input!V46*Formulas!$B23</f>
        <v>0</v>
      </c>
      <c r="O23" s="126">
        <f>Input!X46*Formulas!$B23</f>
        <v>0</v>
      </c>
      <c r="P23" s="126">
        <f>Input!Y46*Formulas!$B23</f>
        <v>0</v>
      </c>
      <c r="Q23" s="126">
        <f>Input!Z46*Formulas!$B23</f>
        <v>0</v>
      </c>
      <c r="R23" s="126">
        <f>Input!AA46*Formulas!$B23</f>
        <v>0</v>
      </c>
      <c r="S23" s="126">
        <f>Input!AB46*Formulas!$B23</f>
        <v>0</v>
      </c>
      <c r="T23" s="126">
        <f>Input!AC46*Formulas!$B23</f>
        <v>0</v>
      </c>
      <c r="U23" s="126">
        <f>Input!AD46*Formulas!$B23</f>
        <v>0</v>
      </c>
      <c r="V23" s="126">
        <f>Input!AE46*Formulas!$B23</f>
        <v>0</v>
      </c>
      <c r="W23" s="126">
        <f>Input!AF46*Formulas!$B23</f>
        <v>0</v>
      </c>
      <c r="X23" s="126">
        <f>Input!AG46*Formulas!$B23</f>
        <v>0</v>
      </c>
    </row>
    <row r="24" spans="1:24">
      <c r="A24" s="126" t="s">
        <v>52</v>
      </c>
      <c r="B24" s="322">
        <v>0.7</v>
      </c>
      <c r="C24" s="126" t="s">
        <v>728</v>
      </c>
      <c r="E24" s="126">
        <f>Input!D47*Formulas!$B24</f>
        <v>0</v>
      </c>
      <c r="F24" s="126">
        <f>Input!F47*Formulas!$B24</f>
        <v>0</v>
      </c>
      <c r="G24" s="126">
        <f>Input!H47*Formulas!$B24</f>
        <v>0</v>
      </c>
      <c r="H24" s="126">
        <f>Input!J47*Formulas!$B24</f>
        <v>0</v>
      </c>
      <c r="I24" s="126">
        <f>Input!L47*Formulas!$B24</f>
        <v>0</v>
      </c>
      <c r="J24" s="126">
        <f>Input!N47*Formulas!$B24</f>
        <v>0</v>
      </c>
      <c r="K24" s="126">
        <f>Input!P47*Formulas!$B24</f>
        <v>0</v>
      </c>
      <c r="L24" s="126">
        <f>Input!R47*Formulas!$B24</f>
        <v>0</v>
      </c>
      <c r="M24" s="126">
        <f>Input!T47*Formulas!$B24</f>
        <v>0</v>
      </c>
      <c r="N24" s="126">
        <f>Input!V47*Formulas!$B24</f>
        <v>0</v>
      </c>
      <c r="O24" s="126">
        <f>Input!X47*Formulas!$B24</f>
        <v>0</v>
      </c>
      <c r="P24" s="126">
        <f>Input!Y47*Formulas!$B24</f>
        <v>0</v>
      </c>
      <c r="Q24" s="126">
        <f>Input!Z47*Formulas!$B24</f>
        <v>0</v>
      </c>
      <c r="R24" s="126">
        <f>Input!AA47*Formulas!$B24</f>
        <v>0</v>
      </c>
      <c r="S24" s="126">
        <f>Input!AB47*Formulas!$B24</f>
        <v>0</v>
      </c>
      <c r="T24" s="126">
        <f>Input!AC47*Formulas!$B24</f>
        <v>0</v>
      </c>
      <c r="U24" s="126">
        <f>Input!AD47*Formulas!$B24</f>
        <v>0</v>
      </c>
      <c r="V24" s="126">
        <f>Input!AE47*Formulas!$B24</f>
        <v>0</v>
      </c>
      <c r="W24" s="126">
        <f>Input!AF47*Formulas!$B24</f>
        <v>0</v>
      </c>
      <c r="X24" s="126">
        <f>Input!AG47*Formulas!$B24</f>
        <v>0</v>
      </c>
    </row>
    <row r="25" spans="1:24">
      <c r="A25" s="126" t="s">
        <v>696</v>
      </c>
      <c r="B25" s="322">
        <v>0.72</v>
      </c>
      <c r="C25" s="126" t="s">
        <v>728</v>
      </c>
      <c r="E25" s="126">
        <f>Input!D48*Formulas!$B25</f>
        <v>0</v>
      </c>
      <c r="F25" s="126">
        <f>Input!F48*Formulas!$B25</f>
        <v>0</v>
      </c>
      <c r="G25" s="126">
        <f>Input!H48*Formulas!$B25</f>
        <v>0</v>
      </c>
      <c r="H25" s="126">
        <f>Input!J48*Formulas!$B25</f>
        <v>0</v>
      </c>
      <c r="I25" s="126">
        <f>Input!L48*Formulas!$B25</f>
        <v>0</v>
      </c>
      <c r="J25" s="126">
        <f>Input!N48*Formulas!$B25</f>
        <v>0</v>
      </c>
      <c r="K25" s="126">
        <f>Input!P48*Formulas!$B25</f>
        <v>0</v>
      </c>
      <c r="L25" s="126">
        <f>Input!R48*Formulas!$B25</f>
        <v>0</v>
      </c>
      <c r="M25" s="126">
        <f>Input!T48*Formulas!$B25</f>
        <v>0</v>
      </c>
      <c r="N25" s="126">
        <f>Input!V48*Formulas!$B25</f>
        <v>0</v>
      </c>
      <c r="O25" s="126">
        <f>Input!X48*Formulas!$B25</f>
        <v>0</v>
      </c>
      <c r="P25" s="126">
        <f>Input!Y48*Formulas!$B25</f>
        <v>0</v>
      </c>
      <c r="Q25" s="126">
        <f>Input!Z48*Formulas!$B25</f>
        <v>0</v>
      </c>
      <c r="R25" s="126">
        <f>Input!AA48*Formulas!$B25</f>
        <v>0</v>
      </c>
      <c r="S25" s="126">
        <f>Input!AB48*Formulas!$B25</f>
        <v>0</v>
      </c>
      <c r="T25" s="126">
        <f>Input!AC48*Formulas!$B25</f>
        <v>0</v>
      </c>
      <c r="U25" s="126">
        <f>Input!AD48*Formulas!$B25</f>
        <v>0</v>
      </c>
      <c r="V25" s="126">
        <f>Input!AE48*Formulas!$B25</f>
        <v>0</v>
      </c>
      <c r="W25" s="126">
        <f>Input!AF48*Formulas!$B25</f>
        <v>0</v>
      </c>
      <c r="X25" s="126">
        <f>Input!AG48*Formulas!$B25</f>
        <v>0</v>
      </c>
    </row>
    <row r="26" spans="1:24">
      <c r="A26" s="126" t="s">
        <v>777</v>
      </c>
      <c r="B26" s="322">
        <v>0.6</v>
      </c>
      <c r="C26" s="126" t="s">
        <v>728</v>
      </c>
      <c r="E26" s="126">
        <f>Input!D49*Formulas!$B26</f>
        <v>0</v>
      </c>
      <c r="F26" s="126">
        <f>Input!F49*Formulas!$B26</f>
        <v>0</v>
      </c>
      <c r="G26" s="126">
        <f>Input!H49*Formulas!$B26</f>
        <v>0</v>
      </c>
      <c r="H26" s="126">
        <f>Input!J49*Formulas!$B26</f>
        <v>0</v>
      </c>
      <c r="I26" s="126">
        <f>Input!L49*Formulas!$B26</f>
        <v>0</v>
      </c>
      <c r="J26" s="126">
        <f>Input!N49*Formulas!$B26</f>
        <v>0</v>
      </c>
      <c r="K26" s="126">
        <f>Input!P49*Formulas!$B26</f>
        <v>0</v>
      </c>
      <c r="L26" s="126">
        <f>Input!R49*Formulas!$B26</f>
        <v>0</v>
      </c>
      <c r="M26" s="126">
        <f>Input!T49*Formulas!$B26</f>
        <v>0</v>
      </c>
      <c r="N26" s="126">
        <f>Input!V49*Formulas!$B26</f>
        <v>0</v>
      </c>
      <c r="O26" s="126">
        <f>Input!X49*Formulas!$B26</f>
        <v>0</v>
      </c>
      <c r="P26" s="126">
        <f>Input!Y49*Formulas!$B26</f>
        <v>0</v>
      </c>
      <c r="Q26" s="126">
        <f>Input!Z49*Formulas!$B26</f>
        <v>0</v>
      </c>
      <c r="R26" s="126">
        <f>Input!AA49*Formulas!$B26</f>
        <v>0</v>
      </c>
      <c r="S26" s="126">
        <f>Input!AB49*Formulas!$B26</f>
        <v>0</v>
      </c>
      <c r="T26" s="126">
        <f>Input!AC49*Formulas!$B26</f>
        <v>0</v>
      </c>
      <c r="U26" s="126">
        <f>Input!AD49*Formulas!$B26</f>
        <v>0</v>
      </c>
      <c r="V26" s="126">
        <f>Input!AE49*Formulas!$B26</f>
        <v>0</v>
      </c>
      <c r="W26" s="126">
        <f>Input!AF49*Formulas!$B26</f>
        <v>0</v>
      </c>
      <c r="X26" s="126">
        <f>Input!AG49*Formulas!$B26</f>
        <v>0</v>
      </c>
    </row>
    <row r="27" spans="1:24">
      <c r="A27" s="126" t="s">
        <v>699</v>
      </c>
      <c r="B27" s="322">
        <v>1</v>
      </c>
      <c r="C27" s="126" t="s">
        <v>728</v>
      </c>
      <c r="E27" s="126">
        <f>Input!D50*Formulas!$B27</f>
        <v>0</v>
      </c>
      <c r="F27" s="126">
        <f>Input!F50*Formulas!$B27</f>
        <v>0</v>
      </c>
      <c r="G27" s="126">
        <f>Input!H50*Formulas!$B27</f>
        <v>0</v>
      </c>
      <c r="H27" s="126">
        <f>Input!J50*Formulas!$B27</f>
        <v>0</v>
      </c>
      <c r="I27" s="126">
        <f>Input!L50*Formulas!$B27</f>
        <v>0</v>
      </c>
      <c r="J27" s="126">
        <f>Input!N50*Formulas!$B27</f>
        <v>0</v>
      </c>
      <c r="K27" s="126">
        <f>Input!P50*Formulas!$B27</f>
        <v>0</v>
      </c>
      <c r="L27" s="126">
        <f>Input!R50*Formulas!$B27</f>
        <v>0</v>
      </c>
      <c r="M27" s="126">
        <f>Input!T50*Formulas!$B27</f>
        <v>0</v>
      </c>
      <c r="N27" s="126">
        <f>Input!V50*Formulas!$B27</f>
        <v>0</v>
      </c>
      <c r="O27" s="126">
        <f>Input!X50*Formulas!$B27</f>
        <v>0</v>
      </c>
      <c r="P27" s="126">
        <f>Input!Y50*Formulas!$B27</f>
        <v>0</v>
      </c>
      <c r="Q27" s="126">
        <f>Input!Z50*Formulas!$B27</f>
        <v>0</v>
      </c>
      <c r="R27" s="126">
        <f>Input!AA50*Formulas!$B27</f>
        <v>0</v>
      </c>
      <c r="S27" s="126">
        <f>Input!AB50*Formulas!$B27</f>
        <v>0</v>
      </c>
      <c r="T27" s="126">
        <f>Input!AC50*Formulas!$B27</f>
        <v>0</v>
      </c>
      <c r="U27" s="126">
        <f>Input!AD50*Formulas!$B27</f>
        <v>0</v>
      </c>
      <c r="V27" s="126">
        <f>Input!AE50*Formulas!$B27</f>
        <v>0</v>
      </c>
      <c r="W27" s="126">
        <f>Input!AF50*Formulas!$B27</f>
        <v>0</v>
      </c>
      <c r="X27" s="126">
        <f>Input!AG50*Formulas!$B27</f>
        <v>0</v>
      </c>
    </row>
    <row r="28" spans="1:24">
      <c r="A28" s="126" t="s">
        <v>700</v>
      </c>
      <c r="B28" s="322">
        <v>1</v>
      </c>
      <c r="C28" s="126" t="s">
        <v>728</v>
      </c>
      <c r="E28" s="126">
        <f>Input!D51*Formulas!$B28</f>
        <v>0</v>
      </c>
      <c r="F28" s="126">
        <f>Input!F51*Formulas!$B28</f>
        <v>0</v>
      </c>
      <c r="G28" s="126">
        <f>Input!H51*Formulas!$B28</f>
        <v>0</v>
      </c>
      <c r="H28" s="126">
        <f>Input!J51*Formulas!$B28</f>
        <v>0</v>
      </c>
      <c r="I28" s="126">
        <f>Input!L51*Formulas!$B28</f>
        <v>0</v>
      </c>
      <c r="J28" s="126">
        <f>Input!N51*Formulas!$B28</f>
        <v>0</v>
      </c>
      <c r="K28" s="126">
        <f>Input!P51*Formulas!$B28</f>
        <v>0</v>
      </c>
      <c r="L28" s="126">
        <f>Input!R51*Formulas!$B28</f>
        <v>0</v>
      </c>
      <c r="M28" s="126">
        <f>Input!T51*Formulas!$B28</f>
        <v>0</v>
      </c>
      <c r="N28" s="126">
        <f>Input!V51*Formulas!$B28</f>
        <v>0</v>
      </c>
      <c r="O28" s="126">
        <f>Input!X51*Formulas!$B28</f>
        <v>0</v>
      </c>
      <c r="P28" s="126">
        <f>Input!Y51*Formulas!$B28</f>
        <v>0</v>
      </c>
      <c r="Q28" s="126">
        <f>Input!Z51*Formulas!$B28</f>
        <v>0</v>
      </c>
      <c r="R28" s="126">
        <f>Input!AA51*Formulas!$B28</f>
        <v>0</v>
      </c>
      <c r="S28" s="126">
        <f>Input!AB51*Formulas!$B28</f>
        <v>0</v>
      </c>
      <c r="T28" s="126">
        <f>Input!AC51*Formulas!$B28</f>
        <v>0</v>
      </c>
      <c r="U28" s="126">
        <f>Input!AD51*Formulas!$B28</f>
        <v>0</v>
      </c>
      <c r="V28" s="126">
        <f>Input!AE51*Formulas!$B28</f>
        <v>0</v>
      </c>
      <c r="W28" s="126">
        <f>Input!AF51*Formulas!$B28</f>
        <v>0</v>
      </c>
      <c r="X28" s="126">
        <f>Input!AG51*Formulas!$B28</f>
        <v>0</v>
      </c>
    </row>
    <row r="29" spans="1:24">
      <c r="A29" s="126" t="s">
        <v>701</v>
      </c>
      <c r="B29" s="322">
        <v>1</v>
      </c>
      <c r="C29" s="126" t="s">
        <v>728</v>
      </c>
      <c r="E29" s="126">
        <f>Input!D52*Formulas!$B29</f>
        <v>0</v>
      </c>
      <c r="F29" s="126">
        <f>Input!F52*Formulas!$B29</f>
        <v>0</v>
      </c>
      <c r="G29" s="126">
        <f>Input!H52*Formulas!$B29</f>
        <v>0</v>
      </c>
      <c r="H29" s="126">
        <f>Input!J52*Formulas!$B29</f>
        <v>0</v>
      </c>
      <c r="I29" s="126">
        <f>Input!L52*Formulas!$B29</f>
        <v>0</v>
      </c>
      <c r="J29" s="126">
        <f>Input!N52*Formulas!$B29</f>
        <v>0</v>
      </c>
      <c r="K29" s="126">
        <f>Input!P52*Formulas!$B29</f>
        <v>0</v>
      </c>
      <c r="L29" s="126">
        <f>Input!R52*Formulas!$B29</f>
        <v>0</v>
      </c>
      <c r="M29" s="126">
        <f>Input!T52*Formulas!$B29</f>
        <v>0</v>
      </c>
      <c r="N29" s="126">
        <f>Input!V52*Formulas!$B29</f>
        <v>0</v>
      </c>
      <c r="O29" s="126">
        <f>Input!X52*Formulas!$B29</f>
        <v>0</v>
      </c>
      <c r="P29" s="126">
        <f>Input!Y52*Formulas!$B29</f>
        <v>0</v>
      </c>
      <c r="Q29" s="126">
        <f>Input!Z52*Formulas!$B29</f>
        <v>0</v>
      </c>
      <c r="R29" s="126">
        <f>Input!AA52*Formulas!$B29</f>
        <v>0</v>
      </c>
      <c r="S29" s="126">
        <f>Input!AB52*Formulas!$B29</f>
        <v>0</v>
      </c>
      <c r="T29" s="126">
        <f>Input!AC52*Formulas!$B29</f>
        <v>0</v>
      </c>
      <c r="U29" s="126">
        <f>Input!AD52*Formulas!$B29</f>
        <v>0</v>
      </c>
      <c r="V29" s="126">
        <f>Input!AE52*Formulas!$B29</f>
        <v>0</v>
      </c>
      <c r="W29" s="126">
        <f>Input!AF52*Formulas!$B29</f>
        <v>0</v>
      </c>
      <c r="X29" s="126">
        <f>Input!AG52*Formulas!$B29</f>
        <v>0</v>
      </c>
    </row>
    <row r="32" spans="1:24">
      <c r="A32" s="126" t="s">
        <v>247</v>
      </c>
      <c r="B32" s="322">
        <v>1</v>
      </c>
      <c r="C32" s="126" t="s">
        <v>729</v>
      </c>
      <c r="E32" s="126">
        <f>Input!D55*Formulas!$B32</f>
        <v>0</v>
      </c>
      <c r="F32" s="126">
        <f>Input!F55*Formulas!$B32</f>
        <v>0</v>
      </c>
      <c r="G32" s="126">
        <f>Input!H55*Formulas!$B32</f>
        <v>0</v>
      </c>
      <c r="H32" s="126">
        <f>Input!J55*Formulas!$B32</f>
        <v>0</v>
      </c>
      <c r="I32" s="126">
        <f>Input!L55*Formulas!$B32</f>
        <v>0</v>
      </c>
      <c r="J32" s="126">
        <f>Input!N55*Formulas!$B32</f>
        <v>0</v>
      </c>
      <c r="K32" s="126">
        <f>Input!P55*Formulas!$B32</f>
        <v>0</v>
      </c>
      <c r="L32" s="126">
        <f>Input!R55*Formulas!$B32</f>
        <v>0</v>
      </c>
      <c r="M32" s="126">
        <f>Input!T55*Formulas!$B32</f>
        <v>0</v>
      </c>
      <c r="N32" s="126">
        <f>Input!V55*Formulas!$B32</f>
        <v>0</v>
      </c>
      <c r="O32" s="126">
        <f>Input!X55*Formulas!$B32</f>
        <v>0</v>
      </c>
      <c r="P32" s="126">
        <f>Input!Y55*Formulas!$B32</f>
        <v>0</v>
      </c>
      <c r="Q32" s="126">
        <f>Input!Z55*Formulas!$B32</f>
        <v>0</v>
      </c>
      <c r="R32" s="126">
        <f>Input!AA55*Formulas!$B32</f>
        <v>0</v>
      </c>
      <c r="S32" s="126">
        <f>Input!AB55*Formulas!$B32</f>
        <v>0</v>
      </c>
      <c r="T32" s="126">
        <f>Input!AC55*Formulas!$B32</f>
        <v>0</v>
      </c>
      <c r="U32" s="126">
        <f>Input!AD55*Formulas!$B32</f>
        <v>0</v>
      </c>
      <c r="V32" s="126">
        <f>Input!AE55*Formulas!$B32</f>
        <v>0</v>
      </c>
      <c r="W32" s="126">
        <f>Input!AF55*Formulas!$B32</f>
        <v>0</v>
      </c>
      <c r="X32" s="126">
        <f>Input!AG55*Formulas!$B32</f>
        <v>0</v>
      </c>
    </row>
    <row r="33" spans="1:24">
      <c r="A33" s="126" t="s">
        <v>248</v>
      </c>
      <c r="B33" s="322">
        <v>1</v>
      </c>
      <c r="C33" s="126" t="s">
        <v>729</v>
      </c>
      <c r="E33" s="126">
        <f>Input!D56*Formulas!$B33</f>
        <v>0</v>
      </c>
      <c r="F33" s="126">
        <f>Input!F56*Formulas!$B33</f>
        <v>0</v>
      </c>
      <c r="G33" s="126">
        <f>Input!H56*Formulas!$B33</f>
        <v>0</v>
      </c>
      <c r="H33" s="126">
        <f>Input!J56*Formulas!$B33</f>
        <v>0</v>
      </c>
      <c r="I33" s="126">
        <f>Input!L56*Formulas!$B33</f>
        <v>0</v>
      </c>
      <c r="J33" s="126">
        <f>Input!N56*Formulas!$B33</f>
        <v>0</v>
      </c>
      <c r="K33" s="126">
        <f>Input!P56*Formulas!$B33</f>
        <v>0</v>
      </c>
      <c r="L33" s="126">
        <f>Input!R56*Formulas!$B33</f>
        <v>0</v>
      </c>
      <c r="M33" s="126">
        <f>Input!T56*Formulas!$B33</f>
        <v>0</v>
      </c>
      <c r="N33" s="126">
        <f>Input!V56*Formulas!$B33</f>
        <v>0</v>
      </c>
      <c r="O33" s="126">
        <f>Input!X56*Formulas!$B33</f>
        <v>0</v>
      </c>
      <c r="P33" s="126">
        <f>Input!Y56*Formulas!$B33</f>
        <v>0</v>
      </c>
      <c r="Q33" s="126">
        <f>Input!Z56*Formulas!$B33</f>
        <v>0</v>
      </c>
      <c r="R33" s="126">
        <f>Input!AA56*Formulas!$B33</f>
        <v>0</v>
      </c>
      <c r="S33" s="126">
        <f>Input!AB56*Formulas!$B33</f>
        <v>0</v>
      </c>
      <c r="T33" s="126">
        <f>Input!AC56*Formulas!$B33</f>
        <v>0</v>
      </c>
      <c r="U33" s="126">
        <f>Input!AD56*Formulas!$B33</f>
        <v>0</v>
      </c>
      <c r="V33" s="126">
        <f>Input!AE56*Formulas!$B33</f>
        <v>0</v>
      </c>
      <c r="W33" s="126">
        <f>Input!AF56*Formulas!$B33</f>
        <v>0</v>
      </c>
      <c r="X33" s="126">
        <f>Input!AG56*Formulas!$B33</f>
        <v>0</v>
      </c>
    </row>
    <row r="34" spans="1:24">
      <c r="A34" s="126" t="s">
        <v>512</v>
      </c>
      <c r="B34" s="322">
        <v>1</v>
      </c>
      <c r="C34" s="126" t="s">
        <v>729</v>
      </c>
      <c r="E34" s="126">
        <f>Input!D57*Formulas!$B34</f>
        <v>0</v>
      </c>
      <c r="F34" s="126">
        <f>Input!E57*Formulas!$B34</f>
        <v>0</v>
      </c>
      <c r="G34" s="126">
        <f>Input!F57*Formulas!$B34</f>
        <v>0</v>
      </c>
      <c r="H34" s="126">
        <f>Input!G57*Formulas!$B34</f>
        <v>0</v>
      </c>
      <c r="I34" s="126">
        <f>Input!H57*Formulas!$B34</f>
        <v>0</v>
      </c>
      <c r="J34" s="126">
        <f>Input!I57*Formulas!$B34</f>
        <v>0</v>
      </c>
      <c r="K34" s="126">
        <f>Input!J57*Formulas!$B34</f>
        <v>0</v>
      </c>
      <c r="L34" s="126">
        <f>Input!K57*Formulas!$B34</f>
        <v>0</v>
      </c>
      <c r="M34" s="126">
        <f>Input!L57*Formulas!$B34</f>
        <v>0</v>
      </c>
      <c r="N34" s="126">
        <f>Input!M57*Formulas!$B34</f>
        <v>0</v>
      </c>
      <c r="O34" s="126">
        <f>Input!N57*Formulas!$B34</f>
        <v>0</v>
      </c>
      <c r="P34" s="126">
        <f>Input!O57*Formulas!$B34</f>
        <v>0</v>
      </c>
      <c r="Q34" s="126">
        <f>Input!P57*Formulas!$B34</f>
        <v>0</v>
      </c>
      <c r="R34" s="126">
        <f>Input!Q57*Formulas!$B34</f>
        <v>0</v>
      </c>
      <c r="S34" s="126">
        <f>Input!R57*Formulas!$B34</f>
        <v>0</v>
      </c>
      <c r="T34" s="126">
        <f>Input!S57*Formulas!$B34</f>
        <v>0</v>
      </c>
      <c r="U34" s="126">
        <f>Input!T57*Formulas!$B34</f>
        <v>0</v>
      </c>
      <c r="V34" s="126">
        <f>Input!U57*Formulas!$B34</f>
        <v>0</v>
      </c>
      <c r="W34" s="126">
        <f>Input!V57*Formulas!$B34</f>
        <v>0</v>
      </c>
      <c r="X34" s="126">
        <f>Input!W57*Formulas!$B34</f>
        <v>0</v>
      </c>
    </row>
    <row r="35" spans="1:24">
      <c r="A35" s="126" t="s">
        <v>699</v>
      </c>
      <c r="B35" s="322">
        <v>1</v>
      </c>
      <c r="C35" s="126" t="s">
        <v>729</v>
      </c>
      <c r="E35" s="126">
        <f>Input!D58*Formulas!$B35</f>
        <v>0</v>
      </c>
      <c r="F35" s="126">
        <f>Input!F58*Formulas!$B35</f>
        <v>0</v>
      </c>
      <c r="G35" s="126">
        <f>Input!H58*Formulas!$B35</f>
        <v>0</v>
      </c>
      <c r="H35" s="126">
        <f>Input!J58*Formulas!$B35</f>
        <v>0</v>
      </c>
      <c r="I35" s="126">
        <f>Input!L58*Formulas!$B35</f>
        <v>0</v>
      </c>
      <c r="J35" s="126">
        <f>Input!N58*Formulas!$B35</f>
        <v>0</v>
      </c>
      <c r="K35" s="126">
        <f>Input!P58*Formulas!$B35</f>
        <v>0</v>
      </c>
      <c r="L35" s="126">
        <f>Input!R58*Formulas!$B35</f>
        <v>0</v>
      </c>
      <c r="M35" s="126">
        <f>Input!T58*Formulas!$B35</f>
        <v>0</v>
      </c>
      <c r="N35" s="126">
        <f>Input!V58*Formulas!$B35</f>
        <v>0</v>
      </c>
      <c r="O35" s="126">
        <f>Input!X58*Formulas!$B35</f>
        <v>0</v>
      </c>
      <c r="P35" s="126">
        <f>Input!Y58*Formulas!$B35</f>
        <v>0</v>
      </c>
      <c r="Q35" s="126">
        <f>Input!Z58*Formulas!$B35</f>
        <v>0</v>
      </c>
      <c r="R35" s="126">
        <f>Input!AA58*Formulas!$B35</f>
        <v>0</v>
      </c>
      <c r="S35" s="126">
        <f>Input!AB58*Formulas!$B35</f>
        <v>0</v>
      </c>
      <c r="T35" s="126">
        <f>Input!AC58*Formulas!$B35</f>
        <v>0</v>
      </c>
      <c r="U35" s="126">
        <f>Input!AD58*Formulas!$B35</f>
        <v>0</v>
      </c>
      <c r="V35" s="126">
        <f>Input!AE58*Formulas!$B35</f>
        <v>0</v>
      </c>
      <c r="W35" s="126">
        <f>Input!AF58*Formulas!$B35</f>
        <v>0</v>
      </c>
      <c r="X35" s="126">
        <f>Input!AG58*Formulas!$B35</f>
        <v>0</v>
      </c>
    </row>
    <row r="36" spans="1:24">
      <c r="A36" s="126" t="s">
        <v>700</v>
      </c>
      <c r="B36" s="322">
        <v>1</v>
      </c>
      <c r="C36" s="126" t="s">
        <v>729</v>
      </c>
      <c r="E36" s="126">
        <f>Input!D59*Formulas!$B36</f>
        <v>0</v>
      </c>
      <c r="F36" s="126">
        <f>Input!F59*Formulas!$B36</f>
        <v>0</v>
      </c>
      <c r="G36" s="126">
        <f>Input!H59*Formulas!$B36</f>
        <v>0</v>
      </c>
      <c r="H36" s="126">
        <f>Input!J59*Formulas!$B36</f>
        <v>0</v>
      </c>
      <c r="I36" s="126">
        <f>Input!L59*Formulas!$B36</f>
        <v>0</v>
      </c>
      <c r="J36" s="126">
        <f>Input!N59*Formulas!$B36</f>
        <v>0</v>
      </c>
      <c r="K36" s="126">
        <f>Input!P59*Formulas!$B36</f>
        <v>0</v>
      </c>
      <c r="L36" s="126">
        <f>Input!R59*Formulas!$B36</f>
        <v>0</v>
      </c>
      <c r="M36" s="126">
        <f>Input!T59*Formulas!$B36</f>
        <v>0</v>
      </c>
      <c r="N36" s="126">
        <f>Input!V59*Formulas!$B36</f>
        <v>0</v>
      </c>
      <c r="O36" s="126">
        <f>Input!X59*Formulas!$B36</f>
        <v>0</v>
      </c>
      <c r="P36" s="126">
        <f>Input!Y59*Formulas!$B36</f>
        <v>0</v>
      </c>
      <c r="Q36" s="126">
        <f>Input!Z59*Formulas!$B36</f>
        <v>0</v>
      </c>
      <c r="R36" s="126">
        <f>Input!AA59*Formulas!$B36</f>
        <v>0</v>
      </c>
      <c r="S36" s="126">
        <f>Input!AB59*Formulas!$B36</f>
        <v>0</v>
      </c>
      <c r="T36" s="126">
        <f>Input!AC59*Formulas!$B36</f>
        <v>0</v>
      </c>
      <c r="U36" s="126">
        <f>Input!AD59*Formulas!$B36</f>
        <v>0</v>
      </c>
      <c r="V36" s="126">
        <f>Input!AE59*Formulas!$B36</f>
        <v>0</v>
      </c>
      <c r="W36" s="126">
        <f>Input!AF59*Formulas!$B36</f>
        <v>0</v>
      </c>
      <c r="X36" s="126">
        <f>Input!AG59*Formulas!$B36</f>
        <v>0</v>
      </c>
    </row>
    <row r="37" spans="1:24">
      <c r="A37" s="126" t="s">
        <v>701</v>
      </c>
      <c r="B37" s="322">
        <v>1</v>
      </c>
      <c r="C37" s="126" t="s">
        <v>729</v>
      </c>
      <c r="E37" s="126">
        <f>Input!D60*Formulas!$B37</f>
        <v>0</v>
      </c>
      <c r="F37" s="126">
        <f>Input!F60*Formulas!$B37</f>
        <v>0</v>
      </c>
      <c r="G37" s="126">
        <f>Input!H60*Formulas!$B37</f>
        <v>0</v>
      </c>
      <c r="H37" s="126">
        <f>Input!J60*Formulas!$B37</f>
        <v>0</v>
      </c>
      <c r="I37" s="126">
        <f>Input!L60*Formulas!$B37</f>
        <v>0</v>
      </c>
      <c r="J37" s="126">
        <f>Input!N60*Formulas!$B37</f>
        <v>0</v>
      </c>
      <c r="K37" s="126">
        <f>Input!P60*Formulas!$B37</f>
        <v>0</v>
      </c>
      <c r="L37" s="126">
        <f>Input!R60*Formulas!$B37</f>
        <v>0</v>
      </c>
      <c r="M37" s="126">
        <f>Input!T60*Formulas!$B37</f>
        <v>0</v>
      </c>
      <c r="N37" s="126">
        <f>Input!V60*Formulas!$B37</f>
        <v>0</v>
      </c>
      <c r="O37" s="126">
        <f>Input!X60*Formulas!$B37</f>
        <v>0</v>
      </c>
      <c r="P37" s="126">
        <f>Input!Y60*Formulas!$B37</f>
        <v>0</v>
      </c>
      <c r="Q37" s="126">
        <f>Input!Z60*Formulas!$B37</f>
        <v>0</v>
      </c>
      <c r="R37" s="126">
        <f>Input!AA60*Formulas!$B37</f>
        <v>0</v>
      </c>
      <c r="S37" s="126">
        <f>Input!AB60*Formulas!$B37</f>
        <v>0</v>
      </c>
      <c r="T37" s="126">
        <f>Input!AC60*Formulas!$B37</f>
        <v>0</v>
      </c>
      <c r="U37" s="126">
        <f>Input!AD60*Formulas!$B37</f>
        <v>0</v>
      </c>
      <c r="V37" s="126">
        <f>Input!AE60*Formulas!$B37</f>
        <v>0</v>
      </c>
      <c r="W37" s="126">
        <f>Input!AF60*Formulas!$B37</f>
        <v>0</v>
      </c>
      <c r="X37" s="126">
        <f>Input!AG60*Formulas!$B37</f>
        <v>0</v>
      </c>
    </row>
    <row r="40" spans="1:24">
      <c r="A40" s="126" t="s">
        <v>758</v>
      </c>
      <c r="B40" s="322">
        <v>1</v>
      </c>
      <c r="C40" s="126" t="str">
        <f>IF(Input!$D$13=Console!$K$9,"Net","Gross")</f>
        <v>Gross</v>
      </c>
      <c r="E40" s="126">
        <f>Input!D63*IF('Income Calculators'!J12=Console!$AJ$8,(1-Console!$AJ$3),1)*Formulas!$B40</f>
        <v>0</v>
      </c>
      <c r="F40" s="126">
        <f>Input!F63*IF('Income Calculators'!L12=Console!$AJ$8,(1-Console!$AJ$3),1)*Formulas!$B40</f>
        <v>0</v>
      </c>
      <c r="G40" s="126">
        <f>Input!H63*IF('Income Calculators'!N12=Console!$AJ$8,(1-Console!$AJ$3),1)*Formulas!$B40</f>
        <v>0</v>
      </c>
      <c r="H40" s="126">
        <f>Input!J63*IF('Income Calculators'!P12=Console!$AJ$8,(1-Console!$AJ$3),1)*Formulas!$B40</f>
        <v>0</v>
      </c>
      <c r="I40" s="126">
        <f>Input!L63*IF('Income Calculators'!R12=Console!$AJ$8,(1-Console!$AJ$3),1)*Formulas!$B40</f>
        <v>0</v>
      </c>
      <c r="J40" s="126">
        <f>Input!N63*(1-Console!$AJ$3)*Formulas!$B40</f>
        <v>0</v>
      </c>
      <c r="K40" s="126">
        <f>Input!P63*(1-Console!$AJ$3)*Formulas!$B40</f>
        <v>0</v>
      </c>
      <c r="L40" s="126">
        <f>Input!R63*(1-Console!$AJ$3)*Formulas!$B40</f>
        <v>0</v>
      </c>
      <c r="M40" s="126">
        <f>Input!T63*(1-Console!$AJ$3)*Formulas!$B40</f>
        <v>0</v>
      </c>
      <c r="N40" s="126">
        <f>Input!V63*Formulas!$B40</f>
        <v>0</v>
      </c>
      <c r="O40" s="126">
        <f>Input!X63*Formulas!$B40</f>
        <v>0</v>
      </c>
      <c r="P40" s="126">
        <f>Input!Y63*Formulas!$B40</f>
        <v>0</v>
      </c>
      <c r="Q40" s="126">
        <f>Input!Z63*Formulas!$B40</f>
        <v>0</v>
      </c>
      <c r="R40" s="126">
        <f>Input!AA63*Formulas!$B40</f>
        <v>0</v>
      </c>
      <c r="S40" s="126">
        <f>Input!AB63*Formulas!$B40</f>
        <v>0</v>
      </c>
      <c r="T40" s="126">
        <f>Input!AC63*Formulas!$B40</f>
        <v>0</v>
      </c>
      <c r="U40" s="126">
        <f>Input!AD63*Formulas!$B40</f>
        <v>0</v>
      </c>
      <c r="V40" s="126">
        <f>Input!AE63*Formulas!$B40</f>
        <v>0</v>
      </c>
      <c r="W40" s="126">
        <f>Input!AF63*Formulas!$B40</f>
        <v>0</v>
      </c>
      <c r="X40" s="126">
        <f>Input!AG63*Formulas!$B40</f>
        <v>0</v>
      </c>
    </row>
    <row r="41" spans="1:24">
      <c r="A41" s="126" t="s">
        <v>759</v>
      </c>
      <c r="B41" s="322">
        <v>1</v>
      </c>
      <c r="C41" s="126" t="str">
        <f>IF(Input!$D$13=Console!$K$9,"Net","Gross")</f>
        <v>Gross</v>
      </c>
      <c r="E41" s="126">
        <f>Input!D64*Formulas!$B41</f>
        <v>0</v>
      </c>
      <c r="F41" s="126">
        <f>Input!F64*Formulas!$B41</f>
        <v>0</v>
      </c>
      <c r="G41" s="126">
        <f>Input!H64*Formulas!$B41</f>
        <v>0</v>
      </c>
      <c r="H41" s="126">
        <f>Input!J64*Formulas!$B41</f>
        <v>0</v>
      </c>
      <c r="I41" s="126">
        <f>Input!L64*Formulas!$B41</f>
        <v>0</v>
      </c>
      <c r="J41" s="126">
        <f>Input!N64*Formulas!$B41</f>
        <v>0</v>
      </c>
      <c r="K41" s="126">
        <f>Input!P64*Formulas!$B41</f>
        <v>0</v>
      </c>
      <c r="L41" s="126">
        <f>Input!R64*Formulas!$B41</f>
        <v>0</v>
      </c>
      <c r="M41" s="126">
        <f>Input!T64*Formulas!$B41</f>
        <v>0</v>
      </c>
      <c r="N41" s="126">
        <f>Input!V64*Formulas!$B41</f>
        <v>0</v>
      </c>
      <c r="O41" s="126">
        <f>Input!X64*Formulas!$B41</f>
        <v>0</v>
      </c>
      <c r="P41" s="126">
        <f>Input!Y64*Formulas!$B41</f>
        <v>0</v>
      </c>
      <c r="Q41" s="126">
        <f>Input!Z64*Formulas!$B41</f>
        <v>0</v>
      </c>
      <c r="R41" s="126">
        <f>Input!AA64*Formulas!$B41</f>
        <v>0</v>
      </c>
      <c r="S41" s="126">
        <f>Input!AB64*Formulas!$B41</f>
        <v>0</v>
      </c>
      <c r="T41" s="126">
        <f>Input!AC64*Formulas!$B41</f>
        <v>0</v>
      </c>
      <c r="U41" s="126">
        <f>Input!AD64*Formulas!$B41</f>
        <v>0</v>
      </c>
      <c r="V41" s="126">
        <f>Input!AE64*Formulas!$B41</f>
        <v>0</v>
      </c>
      <c r="W41" s="126">
        <f>Input!AF64*Formulas!$B41</f>
        <v>0</v>
      </c>
      <c r="X41" s="126">
        <f>Input!AG64*Formulas!$B41</f>
        <v>0</v>
      </c>
    </row>
    <row r="42" spans="1:24">
      <c r="A42" s="126" t="s">
        <v>761</v>
      </c>
      <c r="B42" s="322">
        <v>1</v>
      </c>
      <c r="C42" s="126" t="str">
        <f>IF(Input!$D$13=Console!$K$9,"Net","Gross")</f>
        <v>Gross</v>
      </c>
      <c r="E42" s="126">
        <f>Input!D65*Formulas!$B42</f>
        <v>0</v>
      </c>
      <c r="F42" s="126">
        <f>Input!F65*Formulas!$B42</f>
        <v>0</v>
      </c>
      <c r="G42" s="126">
        <f>Input!H65*Formulas!$B42</f>
        <v>0</v>
      </c>
      <c r="H42" s="126">
        <f>Input!J65*Formulas!$B42</f>
        <v>0</v>
      </c>
      <c r="I42" s="126">
        <f>Input!L65*Formulas!$B42</f>
        <v>0</v>
      </c>
      <c r="J42" s="126">
        <f>Input!N65*Formulas!$B42</f>
        <v>0</v>
      </c>
      <c r="K42" s="126">
        <f>Input!P65*Formulas!$B42</f>
        <v>0</v>
      </c>
      <c r="L42" s="126">
        <f>Input!R65*Formulas!$B42</f>
        <v>0</v>
      </c>
      <c r="M42" s="126">
        <f>Input!T65*Formulas!$B42</f>
        <v>0</v>
      </c>
      <c r="N42" s="126">
        <f>Input!V65*Formulas!$B42</f>
        <v>0</v>
      </c>
      <c r="O42" s="126">
        <f>Input!X65*Formulas!$B42</f>
        <v>0</v>
      </c>
      <c r="P42" s="126">
        <f>Input!Y65*Formulas!$B42</f>
        <v>0</v>
      </c>
      <c r="Q42" s="126">
        <f>Input!Z65*Formulas!$B42</f>
        <v>0</v>
      </c>
      <c r="R42" s="126">
        <f>Input!AA65*Formulas!$B42</f>
        <v>0</v>
      </c>
      <c r="S42" s="126">
        <f>Input!AB65*Formulas!$B42</f>
        <v>0</v>
      </c>
      <c r="T42" s="126">
        <f>Input!AC65*Formulas!$B42</f>
        <v>0</v>
      </c>
      <c r="U42" s="126">
        <f>Input!AD65*Formulas!$B42</f>
        <v>0</v>
      </c>
      <c r="V42" s="126">
        <f>Input!AE65*Formulas!$B42</f>
        <v>0</v>
      </c>
      <c r="W42" s="126">
        <f>Input!AF65*Formulas!$B42</f>
        <v>0</v>
      </c>
      <c r="X42" s="126">
        <f>Input!AG65*Formulas!$B42</f>
        <v>0</v>
      </c>
    </row>
    <row r="43" spans="1:24">
      <c r="A43" s="126" t="s">
        <v>698</v>
      </c>
      <c r="B43" s="322">
        <v>1</v>
      </c>
      <c r="C43" s="126" t="str">
        <f>IF(Input!$D$13=Console!$K$9,"Net","Gross")</f>
        <v>Gross</v>
      </c>
      <c r="E43" s="126">
        <f>Input!D66*Formulas!$B43</f>
        <v>0</v>
      </c>
      <c r="F43" s="126">
        <f>Input!F66*Formulas!$B43</f>
        <v>0</v>
      </c>
      <c r="G43" s="126">
        <f>Input!H66*Formulas!$B43</f>
        <v>0</v>
      </c>
      <c r="H43" s="126">
        <f>Input!J66*Formulas!$B43</f>
        <v>0</v>
      </c>
      <c r="I43" s="126">
        <f>Input!L66*Formulas!$B43</f>
        <v>0</v>
      </c>
      <c r="J43" s="126">
        <f>Input!N66*Formulas!$B43</f>
        <v>0</v>
      </c>
      <c r="K43" s="126">
        <f>Input!P66*Formulas!$B43</f>
        <v>0</v>
      </c>
      <c r="L43" s="126">
        <f>Input!R66*Formulas!$B43</f>
        <v>0</v>
      </c>
      <c r="M43" s="126">
        <f>Input!T66*Formulas!$B43</f>
        <v>0</v>
      </c>
      <c r="N43" s="126">
        <f>Input!V66*Formulas!$B43</f>
        <v>0</v>
      </c>
      <c r="O43" s="126">
        <f>Input!X66*Formulas!$B43</f>
        <v>0</v>
      </c>
      <c r="P43" s="126">
        <f>Input!Y66*Formulas!$B43</f>
        <v>0</v>
      </c>
      <c r="Q43" s="126">
        <f>Input!Z66*Formulas!$B43</f>
        <v>0</v>
      </c>
      <c r="R43" s="126">
        <f>Input!AA66*Formulas!$B43</f>
        <v>0</v>
      </c>
      <c r="S43" s="126">
        <f>Input!AB66*Formulas!$B43</f>
        <v>0</v>
      </c>
      <c r="T43" s="126">
        <f>Input!AC66*Formulas!$B43</f>
        <v>0</v>
      </c>
      <c r="U43" s="126">
        <f>Input!AD66*Formulas!$B43</f>
        <v>0</v>
      </c>
      <c r="V43" s="126">
        <f>Input!AE66*Formulas!$B43</f>
        <v>0</v>
      </c>
      <c r="W43" s="126">
        <f>Input!AF66*Formulas!$B43</f>
        <v>0</v>
      </c>
      <c r="X43" s="126">
        <f>Input!AG66*Formulas!$B43</f>
        <v>0</v>
      </c>
    </row>
    <row r="44" spans="1:24">
      <c r="A44" s="126" t="s">
        <v>699</v>
      </c>
      <c r="B44" s="322">
        <v>1</v>
      </c>
      <c r="C44" s="126" t="str">
        <f>IF(Input!$D$13=Console!$K$9,"Net","Gross")</f>
        <v>Gross</v>
      </c>
      <c r="E44" s="126">
        <f>Input!D67*Formulas!$B44</f>
        <v>0</v>
      </c>
      <c r="F44" s="126">
        <f>Input!F67*Formulas!$B44</f>
        <v>0</v>
      </c>
      <c r="G44" s="126">
        <f>Input!H67*Formulas!$B44</f>
        <v>0</v>
      </c>
      <c r="H44" s="126">
        <f>Input!J67*Formulas!$B44</f>
        <v>0</v>
      </c>
      <c r="I44" s="126">
        <f>Input!L67*Formulas!$B44</f>
        <v>0</v>
      </c>
      <c r="J44" s="126">
        <f>Input!N67*Formulas!$B44</f>
        <v>0</v>
      </c>
      <c r="K44" s="126">
        <f>Input!P67*Formulas!$B44</f>
        <v>0</v>
      </c>
      <c r="L44" s="126">
        <f>Input!R67*Formulas!$B44</f>
        <v>0</v>
      </c>
      <c r="M44" s="126">
        <f>Input!T67*Formulas!$B44</f>
        <v>0</v>
      </c>
      <c r="N44" s="126">
        <f>Input!V67*Formulas!$B44</f>
        <v>0</v>
      </c>
      <c r="O44" s="126">
        <f>Input!X67*Formulas!$B44</f>
        <v>0</v>
      </c>
      <c r="P44" s="126">
        <f>Input!Y67*Formulas!$B44</f>
        <v>0</v>
      </c>
      <c r="Q44" s="126">
        <f>Input!Z67*Formulas!$B44</f>
        <v>0</v>
      </c>
      <c r="R44" s="126">
        <f>Input!AA67*Formulas!$B44</f>
        <v>0</v>
      </c>
      <c r="S44" s="126">
        <f>Input!AB67*Formulas!$B44</f>
        <v>0</v>
      </c>
      <c r="T44" s="126">
        <f>Input!AC67*Formulas!$B44</f>
        <v>0</v>
      </c>
      <c r="U44" s="126">
        <f>Input!AD67*Formulas!$B44</f>
        <v>0</v>
      </c>
      <c r="V44" s="126">
        <f>Input!AE67*Formulas!$B44</f>
        <v>0</v>
      </c>
      <c r="W44" s="126">
        <f>Input!AF67*Formulas!$B44</f>
        <v>0</v>
      </c>
      <c r="X44" s="126">
        <f>Input!AG67*Formulas!$B44</f>
        <v>0</v>
      </c>
    </row>
    <row r="45" spans="1:24">
      <c r="A45" s="126" t="s">
        <v>700</v>
      </c>
      <c r="B45" s="322">
        <v>1</v>
      </c>
      <c r="C45" s="126" t="str">
        <f>IF(Input!$D$13=Console!$K$9,"Net","Gross")</f>
        <v>Gross</v>
      </c>
      <c r="E45" s="126">
        <f>Input!D68*Formulas!$B45</f>
        <v>0</v>
      </c>
      <c r="F45" s="126">
        <f>Input!F68*Formulas!$B45</f>
        <v>0</v>
      </c>
      <c r="G45" s="126">
        <f>Input!H68*Formulas!$B45</f>
        <v>0</v>
      </c>
      <c r="H45" s="126">
        <f>Input!J68*Formulas!$B45</f>
        <v>0</v>
      </c>
      <c r="I45" s="126">
        <f>Input!L68*Formulas!$B45</f>
        <v>0</v>
      </c>
      <c r="J45" s="126">
        <f>Input!N68*Formulas!$B45</f>
        <v>0</v>
      </c>
      <c r="K45" s="126">
        <f>Input!P68*Formulas!$B45</f>
        <v>0</v>
      </c>
      <c r="L45" s="126">
        <f>Input!R68*Formulas!$B45</f>
        <v>0</v>
      </c>
      <c r="M45" s="126">
        <f>Input!T68*Formulas!$B45</f>
        <v>0</v>
      </c>
      <c r="N45" s="126">
        <f>Input!V68*Formulas!$B45</f>
        <v>0</v>
      </c>
      <c r="O45" s="126">
        <f>Input!X68*Formulas!$B45</f>
        <v>0</v>
      </c>
      <c r="P45" s="126">
        <f>Input!Y68*Formulas!$B45</f>
        <v>0</v>
      </c>
      <c r="Q45" s="126">
        <f>Input!Z68*Formulas!$B45</f>
        <v>0</v>
      </c>
      <c r="R45" s="126">
        <f>Input!AA68*Formulas!$B45</f>
        <v>0</v>
      </c>
      <c r="S45" s="126">
        <f>Input!AB68*Formulas!$B45</f>
        <v>0</v>
      </c>
      <c r="T45" s="126">
        <f>Input!AC68*Formulas!$B45</f>
        <v>0</v>
      </c>
      <c r="U45" s="126">
        <f>Input!AD68*Formulas!$B45</f>
        <v>0</v>
      </c>
      <c r="V45" s="126">
        <f>Input!AE68*Formulas!$B45</f>
        <v>0</v>
      </c>
      <c r="W45" s="126">
        <f>Input!AF68*Formulas!$B45</f>
        <v>0</v>
      </c>
      <c r="X45" s="126">
        <f>Input!AG68*Formulas!$B45</f>
        <v>0</v>
      </c>
    </row>
    <row r="46" spans="1:24">
      <c r="A46" s="126" t="s">
        <v>701</v>
      </c>
      <c r="B46" s="322">
        <v>1</v>
      </c>
      <c r="C46" s="126" t="str">
        <f>IF(Input!$D$13=Console!$K$9,"Net","Gross")</f>
        <v>Gross</v>
      </c>
      <c r="E46" s="126">
        <f>Input!D69*Formulas!$B46</f>
        <v>0</v>
      </c>
      <c r="F46" s="126">
        <f>Input!F69*Formulas!$B46</f>
        <v>0</v>
      </c>
      <c r="G46" s="126">
        <f>Input!H69*Formulas!$B46</f>
        <v>0</v>
      </c>
      <c r="H46" s="126">
        <f>Input!J69*Formulas!$B46</f>
        <v>0</v>
      </c>
      <c r="I46" s="126">
        <f>Input!L69*Formulas!$B46</f>
        <v>0</v>
      </c>
      <c r="J46" s="126">
        <f>Input!N69*Formulas!$B46</f>
        <v>0</v>
      </c>
      <c r="K46" s="126">
        <f>Input!P69*Formulas!$B46</f>
        <v>0</v>
      </c>
      <c r="L46" s="126">
        <f>Input!R69*Formulas!$B46</f>
        <v>0</v>
      </c>
      <c r="M46" s="126">
        <f>Input!T69*Formulas!$B46</f>
        <v>0</v>
      </c>
      <c r="N46" s="126">
        <f>Input!V69*Formulas!$B46</f>
        <v>0</v>
      </c>
      <c r="O46" s="126">
        <f>Input!X69*Formulas!$B46</f>
        <v>0</v>
      </c>
      <c r="P46" s="126">
        <f>Input!Y69*Formulas!$B46</f>
        <v>0</v>
      </c>
      <c r="Q46" s="126">
        <f>Input!Z69*Formulas!$B46</f>
        <v>0</v>
      </c>
      <c r="R46" s="126">
        <f>Input!AA69*Formulas!$B46</f>
        <v>0</v>
      </c>
      <c r="S46" s="126">
        <f>Input!AB69*Formulas!$B46</f>
        <v>0</v>
      </c>
      <c r="T46" s="126">
        <f>Input!AC69*Formulas!$B46</f>
        <v>0</v>
      </c>
      <c r="U46" s="126">
        <f>Input!AD69*Formulas!$B46</f>
        <v>0</v>
      </c>
      <c r="V46" s="126">
        <f>Input!AE69*Formulas!$B46</f>
        <v>0</v>
      </c>
      <c r="W46" s="126">
        <f>Input!AF69*Formulas!$B46</f>
        <v>0</v>
      </c>
      <c r="X46" s="126">
        <f>Input!AG69*Formulas!$B46</f>
        <v>0</v>
      </c>
    </row>
    <row r="47" spans="1:24">
      <c r="A47" s="126" t="s">
        <v>762</v>
      </c>
      <c r="J47" s="126">
        <f>IF(Input!F23&gt;=Input!N23,1,0)</f>
        <v>0</v>
      </c>
      <c r="K47" s="126">
        <f>IF(Input!F23&gt;=Input!P23,1,0)</f>
        <v>0</v>
      </c>
      <c r="L47" s="126">
        <f>IF(Input!F23&gt;=Input!R23,1,0)</f>
        <v>0</v>
      </c>
      <c r="M47" s="126">
        <f>IF(Input!F23&gt;=Input!T23,1,0)</f>
        <v>0</v>
      </c>
      <c r="N47" s="126">
        <f>IF(Input!F23&gt;=Input!V23,1,0)</f>
        <v>0</v>
      </c>
    </row>
    <row r="48" spans="1:24">
      <c r="E48" s="126" t="s">
        <v>708</v>
      </c>
      <c r="F48" s="126" t="s">
        <v>709</v>
      </c>
      <c r="G48" s="126" t="s">
        <v>710</v>
      </c>
      <c r="H48" s="126" t="s">
        <v>711</v>
      </c>
      <c r="I48" s="126" t="s">
        <v>712</v>
      </c>
      <c r="J48" s="126" t="s">
        <v>713</v>
      </c>
      <c r="K48" s="126" t="s">
        <v>714</v>
      </c>
      <c r="L48" s="126" t="s">
        <v>715</v>
      </c>
      <c r="M48" s="126" t="s">
        <v>716</v>
      </c>
      <c r="N48" s="126" t="s">
        <v>717</v>
      </c>
      <c r="O48" s="126" t="s">
        <v>718</v>
      </c>
      <c r="P48" s="126" t="s">
        <v>719</v>
      </c>
      <c r="Q48" s="126" t="s">
        <v>720</v>
      </c>
      <c r="R48" s="126" t="s">
        <v>721</v>
      </c>
      <c r="S48" s="126" t="s">
        <v>722</v>
      </c>
      <c r="T48" s="126" t="s">
        <v>723</v>
      </c>
      <c r="U48" s="126" t="s">
        <v>724</v>
      </c>
      <c r="V48" s="126" t="s">
        <v>725</v>
      </c>
      <c r="W48" s="126" t="s">
        <v>726</v>
      </c>
      <c r="X48" s="126" t="s">
        <v>727</v>
      </c>
    </row>
    <row r="49" spans="1:24">
      <c r="A49" s="126" t="s">
        <v>706</v>
      </c>
      <c r="E49" s="326">
        <f>SUM(Input!D28:D33,Input!D36:D43,Input!D46:D52,Input!D55:D60,Input!D63:D69)</f>
        <v>0</v>
      </c>
      <c r="F49" s="326">
        <f>SUM(Input!F28:F33,Input!F36:F43,Input!F46:F52,Input!F55:F60,Input!F63:F69)</f>
        <v>0</v>
      </c>
      <c r="G49" s="326">
        <f>SUM(Input!H28:H33,Input!H36:H43,Input!H46:H52,Input!H55:H60,Input!H63:H69)</f>
        <v>0</v>
      </c>
      <c r="H49" s="326">
        <f>SUM(Input!J28:J33,Input!J36:J43,Input!J46:J52,Input!J55:J60,Input!J63:J69)</f>
        <v>0</v>
      </c>
      <c r="I49" s="326">
        <f>SUM(Input!L28:L33,Input!L36:L43,Input!L46:L52,Input!L55:L60,Input!L63:L69)</f>
        <v>0</v>
      </c>
      <c r="J49" s="326">
        <f>SUM(Input!N28:N33,Input!N36:N43,Input!N46:N52,Input!N55:N60,Input!N63:N69)*J47</f>
        <v>0</v>
      </c>
      <c r="K49" s="326">
        <f>SUM(Input!P28:P33,Input!P36:P43,Input!P46:P52,Input!P55:P60,Input!P63:P69)*K47</f>
        <v>0</v>
      </c>
      <c r="L49" s="326">
        <f>SUM(Input!R28:R33,Input!R36:R43,Input!R46:R52,Input!R55:R60,Input!R63:R69)*L47</f>
        <v>0</v>
      </c>
      <c r="M49" s="326">
        <f>SUM(Input!T28:T33,Input!T36:T43,Input!T46:T52,Input!T55:T60,Input!T63:T69)*M47</f>
        <v>0</v>
      </c>
      <c r="N49" s="326">
        <f>SUM(Input!V28:V33,Input!V36:V43,Input!V46:V52,Input!V55:V60,Input!V63:V69)*N47</f>
        <v>0</v>
      </c>
      <c r="O49" s="326">
        <f>SUM(Input!X28:X33,Input!X36:X43,Input!X46:X52,Input!X55:X60,Input!X63:X69)</f>
        <v>0</v>
      </c>
      <c r="P49" s="326">
        <f>SUM(Input!Y28:Y33,Input!Y36:Y43,Input!Y46:Y52,Input!Y55:Y60,Input!Y63:Y69)</f>
        <v>0</v>
      </c>
      <c r="Q49" s="326">
        <f>SUM(Input!Z28:Z33,Input!Z36:Z43,Input!Z46:Z52,Input!Z55:Z60,Input!Z63:Z69)</f>
        <v>0</v>
      </c>
      <c r="R49" s="326">
        <f>SUM(Input!AA28:AA33,Input!AA36:AA43,Input!AA46:AA52,Input!AA55:AA60,Input!AA63:AA69)</f>
        <v>0</v>
      </c>
      <c r="S49" s="326">
        <f>SUM(Input!AB28:AB33,Input!AB36:AB43,Input!AB46:AB52,Input!AB55:AB60,Input!AB63:AB69)</f>
        <v>0</v>
      </c>
      <c r="T49" s="326">
        <f>SUM(Input!AC28:AC33,Input!AC36:AC43,Input!AC46:AC52,Input!AC55:AC60,Input!AC63:AC69)</f>
        <v>0</v>
      </c>
      <c r="U49" s="326">
        <f>SUM(Input!AD28:AD33,Input!AD36:AD43,Input!AD46:AD52,Input!AD55:AD60,Input!AD63:AD69)</f>
        <v>0</v>
      </c>
      <c r="V49" s="326">
        <f>SUM(Input!AE28:AE33,Input!AE36:AE43,Input!AE46:AE52,Input!AE55:AE60,Input!AE63:AE69)</f>
        <v>0</v>
      </c>
      <c r="W49" s="326">
        <f>SUM(Input!AF28:AF33,Input!AF36:AF43,Input!AF46:AF52,Input!AF55:AF60,Input!AF63:AF69)</f>
        <v>0</v>
      </c>
      <c r="X49" s="326">
        <f>SUM(Input!AG28:AG33,Input!AG36:AG43,Input!AG46:AG52,Input!AG55:AG60,Input!AG63:AG69)</f>
        <v>0</v>
      </c>
    </row>
    <row r="50" spans="1:24">
      <c r="A50" s="126" t="s">
        <v>730</v>
      </c>
      <c r="E50" s="326">
        <f>SUM(E5:E46)</f>
        <v>0</v>
      </c>
      <c r="F50" s="326">
        <f t="shared" ref="F50:X50" si="0">SUM(F5:F46)</f>
        <v>0</v>
      </c>
      <c r="G50" s="326">
        <f t="shared" si="0"/>
        <v>0</v>
      </c>
      <c r="H50" s="326">
        <f t="shared" si="0"/>
        <v>0</v>
      </c>
      <c r="I50" s="326">
        <f t="shared" si="0"/>
        <v>0</v>
      </c>
      <c r="J50" s="326">
        <f>SUM(J5:J46)*J47</f>
        <v>0</v>
      </c>
      <c r="K50" s="326">
        <f t="shared" ref="K50:N50" si="1">SUM(K5:K46)*K47</f>
        <v>0</v>
      </c>
      <c r="L50" s="326">
        <f t="shared" si="1"/>
        <v>0</v>
      </c>
      <c r="M50" s="326">
        <f t="shared" si="1"/>
        <v>0</v>
      </c>
      <c r="N50" s="326">
        <f t="shared" si="1"/>
        <v>0</v>
      </c>
      <c r="O50" s="326">
        <f t="shared" si="0"/>
        <v>0</v>
      </c>
      <c r="P50" s="326">
        <f t="shared" si="0"/>
        <v>0</v>
      </c>
      <c r="Q50" s="326">
        <f t="shared" si="0"/>
        <v>0</v>
      </c>
      <c r="R50" s="326">
        <f t="shared" si="0"/>
        <v>0</v>
      </c>
      <c r="S50" s="326">
        <f t="shared" si="0"/>
        <v>0</v>
      </c>
      <c r="T50" s="326">
        <f t="shared" si="0"/>
        <v>0</v>
      </c>
      <c r="U50" s="326">
        <f t="shared" si="0"/>
        <v>0</v>
      </c>
      <c r="V50" s="326">
        <f t="shared" si="0"/>
        <v>0</v>
      </c>
      <c r="W50" s="326">
        <f t="shared" si="0"/>
        <v>0</v>
      </c>
      <c r="X50" s="326">
        <f t="shared" si="0"/>
        <v>0</v>
      </c>
    </row>
    <row r="51" spans="1:24">
      <c r="A51" s="126" t="s">
        <v>736</v>
      </c>
      <c r="C51" s="126" t="s">
        <v>728</v>
      </c>
      <c r="E51" s="326">
        <f>SUMIF($C$5:$C$46,$C$51,E$5:E$46)+IF(AND(Input!$D$13=Console!$K$8,'Income Calculators'!J12=Console!$AJ$8),'Income Calculators'!J25*Console!$AJ$3,0)+IF(AND(Input!$D$13=Console!$K$9,OR('Income Calculators'!J12=Console!$AJ$6,'Income Calculators'!J12=Console!$AJ$7)),'Income Calculators'!J25+'Income Calculators'!J33,0)</f>
        <v>0</v>
      </c>
      <c r="F51" s="326">
        <f>SUMIF($C$5:$C$46,$C$51,F$5:F$46)+IF(AND(Input!$D$13=Console!$K$8,'Income Calculators'!L12=Console!$AJ$8),'Income Calculators'!L25*Console!$AJ$3,0)+IF(AND(Input!$D$13=Console!$K$9,OR('Income Calculators'!L12=Console!$AJ$6,'Income Calculators'!L12=Console!$AJ$7)),'Income Calculators'!L25+'Income Calculators'!L33,0)</f>
        <v>0</v>
      </c>
      <c r="G51" s="326">
        <f>SUMIF($C$5:$C$46,$C$51,G$5:G$46)+IF(AND(Input!$D$13=Console!$K$8,'Income Calculators'!N12=Console!$AJ$8),'Income Calculators'!N25*Console!$AJ$3,0)+IF(AND(Input!$D$13=Console!$K$9,OR('Income Calculators'!N12=Console!$AJ$6,'Income Calculators'!N12=Console!$AJ$7)),'Income Calculators'!N25+'Income Calculators'!N33,0)</f>
        <v>0</v>
      </c>
      <c r="H51" s="326">
        <f>SUMIF($C$5:$C$46,$C$51,H$5:H$46)+IF(AND(Input!$D$13=Console!$K$8,'Income Calculators'!P12=Console!$AJ$8),'Income Calculators'!P25*Console!$AJ$3,0)+IF(AND(Input!$D$13=Console!$K$9,OR('Income Calculators'!P12=Console!$AJ$6,'Income Calculators'!P12=Console!$AJ$7)),'Income Calculators'!P25+'Income Calculators'!P33,0)</f>
        <v>0</v>
      </c>
      <c r="I51" s="326">
        <f>SUMIF($C$5:$C$46,$C$51,I$5:I$46)+IF(AND(Input!$D$13=Console!$K$8,'Income Calculators'!R12=Console!$AJ$8),'Income Calculators'!R25*Console!$AJ$3,0)+IF(AND(Input!$D$13=Console!$K$9,OR('Income Calculators'!R12=Console!$AJ$6,'Income Calculators'!R12=Console!$AJ$7)),'Income Calculators'!R25+'Income Calculators'!R33,0)</f>
        <v>0</v>
      </c>
      <c r="J51" s="326">
        <f>SUMIF($C$5:$C$46,$C$51,J$5:J$46)*J47</f>
        <v>0</v>
      </c>
      <c r="K51" s="326">
        <f t="shared" ref="K51:N51" si="2">SUMIF($C$5:$C$46,$C$51,K$5:K$46)*K47</f>
        <v>0</v>
      </c>
      <c r="L51" s="326">
        <f t="shared" si="2"/>
        <v>0</v>
      </c>
      <c r="M51" s="326">
        <f t="shared" si="2"/>
        <v>0</v>
      </c>
      <c r="N51" s="326">
        <f t="shared" si="2"/>
        <v>0</v>
      </c>
      <c r="O51" s="326">
        <f t="shared" ref="O51:X51" si="3">SUMIF($C$5:$C$46,$C$51,O$5:O$46)</f>
        <v>0</v>
      </c>
      <c r="P51" s="326">
        <f t="shared" si="3"/>
        <v>0</v>
      </c>
      <c r="Q51" s="326">
        <f t="shared" si="3"/>
        <v>0</v>
      </c>
      <c r="R51" s="326">
        <f t="shared" si="3"/>
        <v>0</v>
      </c>
      <c r="S51" s="326">
        <f t="shared" si="3"/>
        <v>0</v>
      </c>
      <c r="T51" s="326">
        <f t="shared" si="3"/>
        <v>0</v>
      </c>
      <c r="U51" s="326">
        <f t="shared" si="3"/>
        <v>0</v>
      </c>
      <c r="V51" s="326">
        <f t="shared" si="3"/>
        <v>0</v>
      </c>
      <c r="W51" s="326">
        <f t="shared" si="3"/>
        <v>0</v>
      </c>
      <c r="X51" s="326">
        <f t="shared" si="3"/>
        <v>0</v>
      </c>
    </row>
    <row r="52" spans="1:24">
      <c r="A52" s="126" t="s">
        <v>735</v>
      </c>
      <c r="C52" s="126" t="s">
        <v>729</v>
      </c>
      <c r="E52" s="326">
        <f>SUMIF($C$5:$C$46,$C$52,E$5:E$46)-IF(AND(Input!$D$13=Console!$K$9,OR('Income Calculators'!J12=Console!$AJ$6,'Income Calculators'!J12=Console!$AJ$7)),'Income Calculators'!J25+'Income Calculators'!J33,0)</f>
        <v>0</v>
      </c>
      <c r="F52" s="326">
        <f>SUMIF($C$5:$C$46,$C$52,F$5:F$46)-IF(AND(Input!$D$13=Console!$K$9,OR('Income Calculators'!L12=Console!$AJ$6,'Income Calculators'!L12=Console!$AJ$7)),'Income Calculators'!L25+'Income Calculators'!L33,0)</f>
        <v>0</v>
      </c>
      <c r="G52" s="326">
        <f>SUMIF($C$5:$C$46,$C$52,G$5:G$46)-IF(AND(Input!$D$13=Console!$K$9,OR('Income Calculators'!N12=Console!$AJ$6,'Income Calculators'!N12=Console!$AJ$7)),'Income Calculators'!N25+'Income Calculators'!N33,0)</f>
        <v>0</v>
      </c>
      <c r="H52" s="326">
        <f>SUMIF($C$5:$C$46,$C$52,H$5:H$46)-IF(AND(Input!$D$13=Console!$K$9,OR('Income Calculators'!P12=Console!$AJ$6,'Income Calculators'!P12=Console!$AJ$7)),'Income Calculators'!P25+'Income Calculators'!P33,0)</f>
        <v>0</v>
      </c>
      <c r="I52" s="326">
        <f>SUMIF($C$5:$C$46,$C$52,I$5:I$46)-IF(AND(Input!$D$13=Console!$K$9,OR('Income Calculators'!R12=Console!$AJ$6,'Income Calculators'!R12=Console!$AJ$7)),'Income Calculators'!R25+'Income Calculators'!R33,0)</f>
        <v>0</v>
      </c>
      <c r="J52" s="326">
        <f>SUMIF($C$5:$C$46,$C$52,J$5:J$46)*J47</f>
        <v>0</v>
      </c>
      <c r="K52" s="326">
        <f t="shared" ref="K52:N52" si="4">SUMIF($C$5:$C$46,$C$52,K$5:K$46)*K47</f>
        <v>0</v>
      </c>
      <c r="L52" s="326">
        <f t="shared" si="4"/>
        <v>0</v>
      </c>
      <c r="M52" s="326">
        <f t="shared" si="4"/>
        <v>0</v>
      </c>
      <c r="N52" s="326">
        <f t="shared" si="4"/>
        <v>0</v>
      </c>
      <c r="O52" s="326">
        <f t="shared" ref="O52:X52" si="5">SUMIF($C$5:$C$46,$C$52,O$5:O$46)</f>
        <v>0</v>
      </c>
      <c r="P52" s="326">
        <f t="shared" si="5"/>
        <v>0</v>
      </c>
      <c r="Q52" s="326">
        <f t="shared" si="5"/>
        <v>0</v>
      </c>
      <c r="R52" s="326">
        <f t="shared" si="5"/>
        <v>0</v>
      </c>
      <c r="S52" s="326">
        <f t="shared" si="5"/>
        <v>0</v>
      </c>
      <c r="T52" s="326">
        <f t="shared" si="5"/>
        <v>0</v>
      </c>
      <c r="U52" s="326">
        <f t="shared" si="5"/>
        <v>0</v>
      </c>
      <c r="V52" s="326">
        <f t="shared" si="5"/>
        <v>0</v>
      </c>
      <c r="W52" s="326">
        <f t="shared" si="5"/>
        <v>0</v>
      </c>
      <c r="X52" s="326">
        <f t="shared" si="5"/>
        <v>0</v>
      </c>
    </row>
    <row r="53" spans="1:24">
      <c r="A53" s="126" t="s">
        <v>732</v>
      </c>
      <c r="E53" s="126">
        <f>(E51/20000)*E51</f>
        <v>0</v>
      </c>
      <c r="F53" s="126">
        <f t="shared" ref="F53:X53" si="6">(F51/20000)*F51</f>
        <v>0</v>
      </c>
      <c r="G53" s="126">
        <f t="shared" si="6"/>
        <v>0</v>
      </c>
      <c r="H53" s="126">
        <f t="shared" si="6"/>
        <v>0</v>
      </c>
      <c r="I53" s="126">
        <f t="shared" si="6"/>
        <v>0</v>
      </c>
      <c r="J53" s="126">
        <f t="shared" si="6"/>
        <v>0</v>
      </c>
      <c r="K53" s="126">
        <f t="shared" si="6"/>
        <v>0</v>
      </c>
      <c r="L53" s="126">
        <f t="shared" si="6"/>
        <v>0</v>
      </c>
      <c r="M53" s="126">
        <f t="shared" si="6"/>
        <v>0</v>
      </c>
      <c r="N53" s="126">
        <f t="shared" si="6"/>
        <v>0</v>
      </c>
      <c r="O53" s="126">
        <f t="shared" si="6"/>
        <v>0</v>
      </c>
      <c r="P53" s="126">
        <f t="shared" si="6"/>
        <v>0</v>
      </c>
      <c r="Q53" s="126">
        <f t="shared" si="6"/>
        <v>0</v>
      </c>
      <c r="R53" s="126">
        <f t="shared" si="6"/>
        <v>0</v>
      </c>
      <c r="S53" s="126">
        <f t="shared" si="6"/>
        <v>0</v>
      </c>
      <c r="T53" s="126">
        <f t="shared" si="6"/>
        <v>0</v>
      </c>
      <c r="U53" s="126">
        <f t="shared" si="6"/>
        <v>0</v>
      </c>
      <c r="V53" s="126">
        <f t="shared" si="6"/>
        <v>0</v>
      </c>
      <c r="W53" s="126">
        <f t="shared" si="6"/>
        <v>0</v>
      </c>
      <c r="X53" s="126">
        <f t="shared" si="6"/>
        <v>0</v>
      </c>
    </row>
    <row r="54" spans="1:24">
      <c r="A54" s="126" t="s">
        <v>737</v>
      </c>
      <c r="E54" s="126">
        <f>IFERROR(E53/SUM($E$53:$X$53),0)</f>
        <v>0</v>
      </c>
      <c r="F54" s="126">
        <f t="shared" ref="F54:X54" si="7">IFERROR(F53/SUM($E$53:$X$53),0)</f>
        <v>0</v>
      </c>
      <c r="G54" s="126">
        <f t="shared" si="7"/>
        <v>0</v>
      </c>
      <c r="H54" s="126">
        <f t="shared" si="7"/>
        <v>0</v>
      </c>
      <c r="I54" s="126">
        <f t="shared" si="7"/>
        <v>0</v>
      </c>
      <c r="J54" s="126">
        <f t="shared" si="7"/>
        <v>0</v>
      </c>
      <c r="K54" s="126">
        <f t="shared" si="7"/>
        <v>0</v>
      </c>
      <c r="L54" s="126">
        <f t="shared" si="7"/>
        <v>0</v>
      </c>
      <c r="M54" s="126">
        <f t="shared" si="7"/>
        <v>0</v>
      </c>
      <c r="N54" s="126">
        <f t="shared" si="7"/>
        <v>0</v>
      </c>
      <c r="O54" s="126">
        <f t="shared" si="7"/>
        <v>0</v>
      </c>
      <c r="P54" s="126">
        <f t="shared" si="7"/>
        <v>0</v>
      </c>
      <c r="Q54" s="126">
        <f t="shared" si="7"/>
        <v>0</v>
      </c>
      <c r="R54" s="126">
        <f t="shared" si="7"/>
        <v>0</v>
      </c>
      <c r="S54" s="126">
        <f t="shared" si="7"/>
        <v>0</v>
      </c>
      <c r="T54" s="126">
        <f t="shared" si="7"/>
        <v>0</v>
      </c>
      <c r="U54" s="126">
        <f t="shared" si="7"/>
        <v>0</v>
      </c>
      <c r="V54" s="126">
        <f t="shared" si="7"/>
        <v>0</v>
      </c>
      <c r="W54" s="126">
        <f t="shared" si="7"/>
        <v>0</v>
      </c>
      <c r="X54" s="126">
        <f t="shared" si="7"/>
        <v>0</v>
      </c>
    </row>
    <row r="55" spans="1:24">
      <c r="A55" s="126" t="s">
        <v>731</v>
      </c>
      <c r="E55" s="323">
        <f>E54*$C$96+E62</f>
        <v>0</v>
      </c>
      <c r="F55" s="323">
        <f t="shared" ref="F55:X55" si="8">F54*$C$96+F62</f>
        <v>0</v>
      </c>
      <c r="G55" s="323">
        <f t="shared" si="8"/>
        <v>0</v>
      </c>
      <c r="H55" s="323">
        <f t="shared" si="8"/>
        <v>0</v>
      </c>
      <c r="I55" s="323">
        <f t="shared" si="8"/>
        <v>0</v>
      </c>
      <c r="J55" s="323">
        <f t="shared" si="8"/>
        <v>0</v>
      </c>
      <c r="K55" s="323">
        <f t="shared" si="8"/>
        <v>0</v>
      </c>
      <c r="L55" s="323">
        <f t="shared" si="8"/>
        <v>0</v>
      </c>
      <c r="M55" s="323">
        <f t="shared" si="8"/>
        <v>0</v>
      </c>
      <c r="N55" s="323">
        <f t="shared" si="8"/>
        <v>0</v>
      </c>
      <c r="O55" s="323">
        <f t="shared" si="8"/>
        <v>0</v>
      </c>
      <c r="P55" s="323">
        <f t="shared" si="8"/>
        <v>0</v>
      </c>
      <c r="Q55" s="323">
        <f t="shared" si="8"/>
        <v>0</v>
      </c>
      <c r="R55" s="323">
        <f t="shared" si="8"/>
        <v>0</v>
      </c>
      <c r="S55" s="323">
        <f t="shared" si="8"/>
        <v>0</v>
      </c>
      <c r="T55" s="323">
        <f t="shared" si="8"/>
        <v>0</v>
      </c>
      <c r="U55" s="323">
        <f t="shared" si="8"/>
        <v>0</v>
      </c>
      <c r="V55" s="323">
        <f t="shared" si="8"/>
        <v>0</v>
      </c>
      <c r="W55" s="323">
        <f t="shared" si="8"/>
        <v>0</v>
      </c>
      <c r="X55" s="323">
        <f t="shared" si="8"/>
        <v>0</v>
      </c>
    </row>
    <row r="56" spans="1:24">
      <c r="A56" s="126" t="s">
        <v>733</v>
      </c>
      <c r="E56" s="323">
        <f>MAX(E51-E55,0)</f>
        <v>0</v>
      </c>
      <c r="F56" s="323">
        <f t="shared" ref="F56:X56" si="9">MAX(F51-F55,0)</f>
        <v>0</v>
      </c>
      <c r="G56" s="323">
        <f t="shared" si="9"/>
        <v>0</v>
      </c>
      <c r="H56" s="323">
        <f t="shared" si="9"/>
        <v>0</v>
      </c>
      <c r="I56" s="323">
        <f t="shared" si="9"/>
        <v>0</v>
      </c>
      <c r="J56" s="323">
        <f t="shared" si="9"/>
        <v>0</v>
      </c>
      <c r="K56" s="323">
        <f t="shared" si="9"/>
        <v>0</v>
      </c>
      <c r="L56" s="323">
        <f t="shared" si="9"/>
        <v>0</v>
      </c>
      <c r="M56" s="323">
        <f t="shared" si="9"/>
        <v>0</v>
      </c>
      <c r="N56" s="323">
        <f t="shared" si="9"/>
        <v>0</v>
      </c>
      <c r="O56" s="323">
        <f t="shared" si="9"/>
        <v>0</v>
      </c>
      <c r="P56" s="323">
        <f t="shared" si="9"/>
        <v>0</v>
      </c>
      <c r="Q56" s="323">
        <f t="shared" si="9"/>
        <v>0</v>
      </c>
      <c r="R56" s="323">
        <f t="shared" si="9"/>
        <v>0</v>
      </c>
      <c r="S56" s="323">
        <f t="shared" si="9"/>
        <v>0</v>
      </c>
      <c r="T56" s="323">
        <f t="shared" si="9"/>
        <v>0</v>
      </c>
      <c r="U56" s="323">
        <f t="shared" si="9"/>
        <v>0</v>
      </c>
      <c r="V56" s="323">
        <f t="shared" si="9"/>
        <v>0</v>
      </c>
      <c r="W56" s="323">
        <f t="shared" si="9"/>
        <v>0</v>
      </c>
      <c r="X56" s="323">
        <f t="shared" si="9"/>
        <v>0</v>
      </c>
    </row>
    <row r="57" spans="1:24">
      <c r="A57" s="126" t="s">
        <v>734</v>
      </c>
      <c r="E57" s="326">
        <f>IF(E56&lt;=Console!$AD$3,0,IF(E56&lt;=Console!$AD$4,Console!$AE$4+Console!$AF$4*(E56-Console!$AC$4),IF(E56&lt;=Console!$AD$5,Console!$AE$5+Console!$AF$5*(E56-Console!$AC$5),IF(E56&lt;=Console!$AD$6,Console!$AE$6+Console!$AF$6*(E56-Console!$AC$6),Console!$AE$7+Console!$AF$7*(E56-Console!$AC$7)))))</f>
        <v>0</v>
      </c>
      <c r="F57" s="326">
        <f>IF(F56&lt;=Console!$AD$3,0,IF(F56&lt;=Console!$AD$4,Console!$AE$4+Console!$AF$4*(F56-Console!$AC$4),IF(F56&lt;=Console!$AD$5,Console!$AE$5+Console!$AF$5*(F56-Console!$AC$5),IF(F56&lt;=Console!$AD$6,Console!$AE$6+Console!$AF$6*(F56-Console!$AC$6),Console!$AE$7+Console!$AF$7*(F56-Console!$AC$7)))))</f>
        <v>0</v>
      </c>
      <c r="G57" s="326">
        <f>IF(G56&lt;=Console!$AD$3,0,IF(G56&lt;=Console!$AD$4,Console!$AE$4+Console!$AF$4*(G56-Console!$AC$4),IF(G56&lt;=Console!$AD$5,Console!$AE$5+Console!$AF$5*(G56-Console!$AC$5),IF(G56&lt;=Console!$AD$6,Console!$AE$6+Console!$AF$6*(G56-Console!$AC$6),Console!$AE$7+Console!$AF$7*(G56-Console!$AC$7)))))</f>
        <v>0</v>
      </c>
      <c r="H57" s="326">
        <f>IF(H56&lt;=Console!$AD$3,0,IF(H56&lt;=Console!$AD$4,Console!$AE$4+Console!$AF$4*(H56-Console!$AC$4),IF(H56&lt;=Console!$AD$5,Console!$AE$5+Console!$AF$5*(H56-Console!$AC$5),IF(H56&lt;=Console!$AD$6,Console!$AE$6+Console!$AF$6*(H56-Console!$AC$6),Console!$AE$7+Console!$AF$7*(H56-Console!$AC$7)))))</f>
        <v>0</v>
      </c>
      <c r="I57" s="326">
        <f>IF(I56&lt;=Console!$AD$3,0,IF(I56&lt;=Console!$AD$4,Console!$AE$4+Console!$AF$4*(I56-Console!$AC$4),IF(I56&lt;=Console!$AD$5,Console!$AE$5+Console!$AF$5*(I56-Console!$AC$5),IF(I56&lt;=Console!$AD$6,Console!$AE$6+Console!$AF$6*(I56-Console!$AC$6),Console!$AE$7+Console!$AF$7*(I56-Console!$AC$7)))))</f>
        <v>0</v>
      </c>
      <c r="J57" s="326">
        <f>IF(J56&lt;=Console!$AD$3,0,IF(J56&lt;=Console!$AD$4,Console!$AE$4+Console!$AF$4*(J56-Console!$AC$4),IF(J56&lt;=Console!$AD$5,Console!$AE$5+Console!$AF$5*(J56-Console!$AC$5),IF(J56&lt;=Console!$AD$6,Console!$AE$6+Console!$AF$6*(J56-Console!$AC$6),Console!$AE$7+Console!$AF$7*(J56-Console!$AC$7)))))</f>
        <v>0</v>
      </c>
      <c r="K57" s="326">
        <f>IF(K56&lt;=Console!$AD$3,0,IF(K56&lt;=Console!$AD$4,Console!$AE$4+Console!$AF$4*(K56-Console!$AC$4),IF(K56&lt;=Console!$AD$5,Console!$AE$5+Console!$AF$5*(K56-Console!$AC$5),IF(K56&lt;=Console!$AD$6,Console!$AE$6+Console!$AF$6*(K56-Console!$AC$6),Console!$AE$7+Console!$AF$7*(K56-Console!$AC$7)))))</f>
        <v>0</v>
      </c>
      <c r="L57" s="326">
        <f>IF(L56&lt;=Console!$AD$3,0,IF(L56&lt;=Console!$AD$4,Console!$AE$4+Console!$AF$4*(L56-Console!$AC$4),IF(L56&lt;=Console!$AD$5,Console!$AE$5+Console!$AF$5*(L56-Console!$AC$5),IF(L56&lt;=Console!$AD$6,Console!$AE$6+Console!$AF$6*(L56-Console!$AC$6),Console!$AE$7+Console!$AF$7*(L56-Console!$AC$7)))))</f>
        <v>0</v>
      </c>
      <c r="M57" s="326">
        <f>IF(M56&lt;=Console!$AD$3,0,IF(M56&lt;=Console!$AD$4,Console!$AE$4+Console!$AF$4*(M56-Console!$AC$4),IF(M56&lt;=Console!$AD$5,Console!$AE$5+Console!$AF$5*(M56-Console!$AC$5),IF(M56&lt;=Console!$AD$6,Console!$AE$6+Console!$AF$6*(M56-Console!$AC$6),Console!$AE$7+Console!$AF$7*(M56-Console!$AC$7)))))</f>
        <v>0</v>
      </c>
      <c r="N57" s="326">
        <f>IF(N56&lt;=Console!$AD$3,0,IF(N56&lt;=Console!$AD$4,Console!$AE$4+Console!$AF$4*(N56-Console!$AC$4),IF(N56&lt;=Console!$AD$5,Console!$AE$5+Console!$AF$5*(N56-Console!$AC$5),IF(N56&lt;=Console!$AD$6,Console!$AE$6+Console!$AF$6*(N56-Console!$AC$6),Console!$AE$7+Console!$AF$7*(N56-Console!$AC$7)))))</f>
        <v>0</v>
      </c>
      <c r="O57" s="326">
        <f>IF(O56&lt;=Console!$AD$3,0,IF(O56&lt;=Console!$AD$4,Console!$AE$4+Console!$AF$4*(O56-Console!$AC$4),IF(O56&lt;=Console!$AD$5,Console!$AE$5+Console!$AF$5*(O56-Console!$AC$5),IF(O56&lt;=Console!$AD$6,Console!$AE$6+Console!$AF$6*(O56-Console!$AC$6),Console!$AE$7+Console!$AF$7*(O56-Console!$AC$7)))))</f>
        <v>0</v>
      </c>
      <c r="P57" s="326">
        <f>IF(P56&lt;=Console!$AD$3,0,IF(P56&lt;=Console!$AD$4,Console!$AE$4+Console!$AF$4*(P56-Console!$AC$4),IF(P56&lt;=Console!$AD$5,Console!$AE$5+Console!$AF$5*(P56-Console!$AC$5),IF(P56&lt;=Console!$AD$6,Console!$AE$6+Console!$AF$6*(P56-Console!$AC$6),Console!$AE$7+Console!$AF$7*(P56-Console!$AC$7)))))</f>
        <v>0</v>
      </c>
      <c r="Q57" s="326">
        <f>IF(Q56&lt;=Console!$AD$3,0,IF(Q56&lt;=Console!$AD$4,Console!$AE$4+Console!$AF$4*(Q56-Console!$AC$4),IF(Q56&lt;=Console!$AD$5,Console!$AE$5+Console!$AF$5*(Q56-Console!$AC$5),IF(Q56&lt;=Console!$AD$6,Console!$AE$6+Console!$AF$6*(Q56-Console!$AC$6),Console!$AE$7+Console!$AF$7*(Q56-Console!$AC$7)))))</f>
        <v>0</v>
      </c>
      <c r="R57" s="326">
        <f>IF(R56&lt;=Console!$AD$3,0,IF(R56&lt;=Console!$AD$4,Console!$AE$4+Console!$AF$4*(R56-Console!$AC$4),IF(R56&lt;=Console!$AD$5,Console!$AE$5+Console!$AF$5*(R56-Console!$AC$5),IF(R56&lt;=Console!$AD$6,Console!$AE$6+Console!$AF$6*(R56-Console!$AC$6),Console!$AE$7+Console!$AF$7*(R56-Console!$AC$7)))))</f>
        <v>0</v>
      </c>
      <c r="S57" s="326">
        <f>IF(S56&lt;=Console!$AD$3,0,IF(S56&lt;=Console!$AD$4,Console!$AE$4+Console!$AF$4*(S56-Console!$AC$4),IF(S56&lt;=Console!$AD$5,Console!$AE$5+Console!$AF$5*(S56-Console!$AC$5),IF(S56&lt;=Console!$AD$6,Console!$AE$6+Console!$AF$6*(S56-Console!$AC$6),Console!$AE$7+Console!$AF$7*(S56-Console!$AC$7)))))</f>
        <v>0</v>
      </c>
      <c r="T57" s="326">
        <f>IF(T56&lt;=Console!$AD$3,0,IF(T56&lt;=Console!$AD$4,Console!$AE$4+Console!$AF$4*(T56-Console!$AC$4),IF(T56&lt;=Console!$AD$5,Console!$AE$5+Console!$AF$5*(T56-Console!$AC$5),IF(T56&lt;=Console!$AD$6,Console!$AE$6+Console!$AF$6*(T56-Console!$AC$6),Console!$AE$7+Console!$AF$7*(T56-Console!$AC$7)))))</f>
        <v>0</v>
      </c>
      <c r="U57" s="326">
        <f>IF(U56&lt;=Console!$AD$3,0,IF(U56&lt;=Console!$AD$4,Console!$AE$4+Console!$AF$4*(U56-Console!$AC$4),IF(U56&lt;=Console!$AD$5,Console!$AE$5+Console!$AF$5*(U56-Console!$AC$5),IF(U56&lt;=Console!$AD$6,Console!$AE$6+Console!$AF$6*(U56-Console!$AC$6),Console!$AE$7+Console!$AF$7*(U56-Console!$AC$7)))))</f>
        <v>0</v>
      </c>
      <c r="V57" s="326">
        <f>IF(V56&lt;=Console!$AD$3,0,IF(V56&lt;=Console!$AD$4,Console!$AE$4+Console!$AF$4*(V56-Console!$AC$4),IF(V56&lt;=Console!$AD$5,Console!$AE$5+Console!$AF$5*(V56-Console!$AC$5),IF(V56&lt;=Console!$AD$6,Console!$AE$6+Console!$AF$6*(V56-Console!$AC$6),Console!$AE$7+Console!$AF$7*(V56-Console!$AC$7)))))</f>
        <v>0</v>
      </c>
      <c r="W57" s="326">
        <f>IF(W56&lt;=Console!$AD$3,0,IF(W56&lt;=Console!$AD$4,Console!$AE$4+Console!$AF$4*(W56-Console!$AC$4),IF(W56&lt;=Console!$AD$5,Console!$AE$5+Console!$AF$5*(W56-Console!$AC$5),IF(W56&lt;=Console!$AD$6,Console!$AE$6+Console!$AF$6*(W56-Console!$AC$6),Console!$AE$7+Console!$AF$7*(W56-Console!$AC$7)))))</f>
        <v>0</v>
      </c>
      <c r="X57" s="326">
        <f>IF(X56&lt;=Console!$AD$3,0,IF(X56&lt;=Console!$AD$4,Console!$AE$4+Console!$AF$4*(X56-Console!$AC$4),IF(X56&lt;=Console!$AD$5,Console!$AE$5+Console!$AF$5*(X56-Console!$AC$5),IF(X56&lt;=Console!$AD$6,Console!$AE$6+Console!$AF$6*(X56-Console!$AC$6),Console!$AE$7+Console!$AF$7*(X56-Console!$AC$7)))))</f>
        <v>0</v>
      </c>
    </row>
    <row r="58" spans="1:24">
      <c r="A58" s="126" t="s">
        <v>85</v>
      </c>
      <c r="E58" s="326">
        <f>E56*Console!$AH$3</f>
        <v>0</v>
      </c>
      <c r="F58" s="326">
        <f>F56*Console!$AH$3</f>
        <v>0</v>
      </c>
      <c r="G58" s="326">
        <f>G56*Console!$AH$3</f>
        <v>0</v>
      </c>
      <c r="H58" s="326">
        <f>H56*Console!$AH$3</f>
        <v>0</v>
      </c>
      <c r="I58" s="326">
        <f>I56*Console!$AH$3</f>
        <v>0</v>
      </c>
      <c r="J58" s="326">
        <f>J56*Console!$AH$3</f>
        <v>0</v>
      </c>
      <c r="K58" s="326">
        <f>K56*Console!$AH$3</f>
        <v>0</v>
      </c>
      <c r="L58" s="326">
        <f>L56*Console!$AH$3</f>
        <v>0</v>
      </c>
      <c r="M58" s="326">
        <f>M56*Console!$AH$3</f>
        <v>0</v>
      </c>
      <c r="N58" s="326">
        <f>N56*Console!$AH$3</f>
        <v>0</v>
      </c>
      <c r="O58" s="326">
        <f>O56*Console!$AH$3</f>
        <v>0</v>
      </c>
      <c r="P58" s="326">
        <f>P56*Console!$AH$3</f>
        <v>0</v>
      </c>
      <c r="Q58" s="326">
        <f>Q56*Console!$AH$3</f>
        <v>0</v>
      </c>
      <c r="R58" s="326">
        <f>R56*Console!$AH$3</f>
        <v>0</v>
      </c>
      <c r="S58" s="326">
        <f>S56*Console!$AH$3</f>
        <v>0</v>
      </c>
      <c r="T58" s="326">
        <f>T56*Console!$AH$3</f>
        <v>0</v>
      </c>
      <c r="U58" s="326">
        <f>U56*Console!$AH$3</f>
        <v>0</v>
      </c>
      <c r="V58" s="326">
        <f>V56*Console!$AH$3</f>
        <v>0</v>
      </c>
      <c r="W58" s="326">
        <f>W56*Console!$AH$3</f>
        <v>0</v>
      </c>
      <c r="X58" s="326">
        <f>X56*Console!$AH$3</f>
        <v>0</v>
      </c>
    </row>
    <row r="59" spans="1:24">
      <c r="A59" s="126" t="s">
        <v>249</v>
      </c>
      <c r="E59" s="326">
        <f>E51-E57-E58+E52</f>
        <v>0</v>
      </c>
      <c r="F59" s="326">
        <f t="shared" ref="F59:X59" si="10">F51-F57-F58+F52</f>
        <v>0</v>
      </c>
      <c r="G59" s="326">
        <f t="shared" si="10"/>
        <v>0</v>
      </c>
      <c r="H59" s="326">
        <f t="shared" si="10"/>
        <v>0</v>
      </c>
      <c r="I59" s="326">
        <f t="shared" si="10"/>
        <v>0</v>
      </c>
      <c r="J59" s="326">
        <f t="shared" si="10"/>
        <v>0</v>
      </c>
      <c r="K59" s="326">
        <f t="shared" si="10"/>
        <v>0</v>
      </c>
      <c r="L59" s="326">
        <f t="shared" si="10"/>
        <v>0</v>
      </c>
      <c r="M59" s="326">
        <f t="shared" si="10"/>
        <v>0</v>
      </c>
      <c r="N59" s="326">
        <f t="shared" si="10"/>
        <v>0</v>
      </c>
      <c r="O59" s="326">
        <f t="shared" si="10"/>
        <v>0</v>
      </c>
      <c r="P59" s="326">
        <f t="shared" si="10"/>
        <v>0</v>
      </c>
      <c r="Q59" s="326">
        <f t="shared" si="10"/>
        <v>0</v>
      </c>
      <c r="R59" s="326">
        <f t="shared" si="10"/>
        <v>0</v>
      </c>
      <c r="S59" s="326">
        <f t="shared" si="10"/>
        <v>0</v>
      </c>
      <c r="T59" s="326">
        <f t="shared" si="10"/>
        <v>0</v>
      </c>
      <c r="U59" s="326">
        <f t="shared" si="10"/>
        <v>0</v>
      </c>
      <c r="V59" s="326">
        <f t="shared" si="10"/>
        <v>0</v>
      </c>
      <c r="W59" s="326">
        <f t="shared" si="10"/>
        <v>0</v>
      </c>
      <c r="X59" s="326">
        <f t="shared" si="10"/>
        <v>0</v>
      </c>
    </row>
    <row r="60" spans="1:24">
      <c r="E60" s="324"/>
    </row>
    <row r="61" spans="1:24">
      <c r="A61" s="126" t="s">
        <v>742</v>
      </c>
      <c r="E61" s="326">
        <f>SUMIFS($P$101:$P$125,$D$101:$D$125,Formulas!E48,$C$101:$C$125,Console!$AT$5)</f>
        <v>0</v>
      </c>
      <c r="F61" s="326">
        <f>SUMIFS($P$101:$P$125,$D$101:$D$125,Formulas!F48,$C$101:$C$125,Console!$AT$5)</f>
        <v>0</v>
      </c>
      <c r="G61" s="326">
        <f>SUMIFS($P$101:$P$125,$D$101:$D$125,Formulas!G48,$C$101:$C$125,Console!$AT$5)</f>
        <v>0</v>
      </c>
      <c r="H61" s="326">
        <f>SUMIFS($P$101:$P$125,$D$101:$D$125,Formulas!H48,$C$101:$C$125,Console!$AT$5)</f>
        <v>0</v>
      </c>
      <c r="I61" s="326">
        <f>SUMIFS($P$101:$P$125,$D$101:$D$125,Formulas!I48,$C$101:$C$125,Console!$AT$5)</f>
        <v>0</v>
      </c>
      <c r="J61" s="326">
        <f>SUMIFS($P$101:$P$125,$D$101:$D$125,Formulas!J48,$C$101:$C$125,Console!$AT$5)</f>
        <v>0</v>
      </c>
      <c r="K61" s="326">
        <f>SUMIFS($P$101:$P$125,$D$101:$D$125,Formulas!K48,$C$101:$C$125,Console!$AT$5)</f>
        <v>0</v>
      </c>
      <c r="L61" s="326">
        <f>SUMIFS($P$101:$P$125,$D$101:$D$125,Formulas!L48,$C$101:$C$125,Console!$AT$5)</f>
        <v>0</v>
      </c>
      <c r="M61" s="326">
        <f>SUMIFS($P$101:$P$125,$D$101:$D$125,Formulas!M48,$C$101:$C$125,Console!$AT$5)</f>
        <v>0</v>
      </c>
      <c r="N61" s="326">
        <f>SUMIFS($P$101:$P$125,$D$101:$D$125,Formulas!N48,$C$101:$C$125,Console!$AT$5)</f>
        <v>0</v>
      </c>
      <c r="O61" s="326">
        <f>SUMIFS($P$101:$P$125,$D$101:$D$125,Formulas!O48,$C$101:$C$125,Console!$AT$5)</f>
        <v>0</v>
      </c>
      <c r="P61" s="326">
        <f>SUMIFS($P$101:$P$125,$D$101:$D$125,Formulas!P48,$C$101:$C$125,Console!$AT$5)</f>
        <v>0</v>
      </c>
      <c r="Q61" s="326">
        <f>SUMIFS($P$101:$P$125,$D$101:$D$125,Formulas!Q48,$C$101:$C$125,Console!$AT$5)</f>
        <v>0</v>
      </c>
      <c r="R61" s="326">
        <f>SUMIFS($P$101:$P$125,$D$101:$D$125,Formulas!R48,$C$101:$C$125,Console!$AT$5)</f>
        <v>0</v>
      </c>
      <c r="S61" s="326">
        <f>SUMIFS($P$101:$P$125,$D$101:$D$125,Formulas!S48,$C$101:$C$125,Console!$AT$5)</f>
        <v>0</v>
      </c>
      <c r="T61" s="326">
        <f>SUMIFS($P$101:$P$125,$D$101:$D$125,Formulas!T48,$C$101:$C$125,Console!$AT$5)</f>
        <v>0</v>
      </c>
      <c r="U61" s="326">
        <f>SUMIFS($P$101:$P$125,$D$101:$D$125,Formulas!U48,$C$101:$C$125,Console!$AT$5)</f>
        <v>0</v>
      </c>
      <c r="V61" s="326">
        <f>SUMIFS($P$101:$P$125,$D$101:$D$125,Formulas!V48,$C$101:$C$125,Console!$AT$5)</f>
        <v>0</v>
      </c>
      <c r="W61" s="326">
        <f>SUMIFS($P$101:$P$125,$D$101:$D$125,Formulas!W48,$C$101:$C$125,Console!$AT$5)</f>
        <v>0</v>
      </c>
      <c r="X61" s="326">
        <f>SUMIFS($P$101:$P$125,$D$101:$D$125,Formulas!X48,$C$101:$C$125,Console!$AT$5)</f>
        <v>0</v>
      </c>
    </row>
    <row r="62" spans="1:24">
      <c r="A62" s="126" t="s">
        <v>766</v>
      </c>
      <c r="E62" s="326">
        <f>IFERROR(E61*((Input!$F$20-0.5)/Input!$F$20)*Input!$P$11,0)</f>
        <v>0</v>
      </c>
      <c r="F62" s="326">
        <f>IFERROR(F61*((Input!$F$20-0.5)/Input!$F$20)*Input!$P$11,0)</f>
        <v>0</v>
      </c>
      <c r="G62" s="326">
        <f>IFERROR(G61*((Input!$F$20-0.5)/Input!$F$20)*Input!$P$11,0)</f>
        <v>0</v>
      </c>
      <c r="H62" s="326">
        <f>IFERROR(H61*((Input!$F$20-0.5)/Input!$F$20)*Input!$P$11,0)</f>
        <v>0</v>
      </c>
      <c r="I62" s="326">
        <f>IFERROR(I61*((Input!$F$20-0.5)/Input!$F$20)*Input!$P$11,0)</f>
        <v>0</v>
      </c>
      <c r="J62" s="326">
        <f>IFERROR(J61*((Input!$F$20-0.5)/Input!$F$20)*Input!$P$11,0)</f>
        <v>0</v>
      </c>
      <c r="K62" s="326">
        <f>IFERROR(K61*((Input!$F$20-0.5)/Input!$F$20)*Input!$P$11,0)</f>
        <v>0</v>
      </c>
      <c r="L62" s="326">
        <f>IFERROR(L61*((Input!$F$20-0.5)/Input!$F$20)*Input!$P$11,0)</f>
        <v>0</v>
      </c>
      <c r="M62" s="326">
        <f>IFERROR(M61*((Input!$F$20-0.5)/Input!$F$20)*Input!$P$11,0)</f>
        <v>0</v>
      </c>
      <c r="N62" s="326">
        <f>IFERROR(N61*((Input!$F$20-0.5)/Input!$F$20)*Input!$P$11,0)</f>
        <v>0</v>
      </c>
      <c r="O62" s="326">
        <f>IFERROR(O61*((Input!$F$20-0.5)/Input!$F$20)*Input!$P$11,0)</f>
        <v>0</v>
      </c>
      <c r="P62" s="326">
        <f>IFERROR(P61*((Input!$F$20-0.5)/Input!$F$20)*Input!$P$11,0)</f>
        <v>0</v>
      </c>
      <c r="Q62" s="326">
        <f>IFERROR(Q61*((Input!$F$20-0.5)/Input!$F$20)*Input!$P$11,0)</f>
        <v>0</v>
      </c>
      <c r="R62" s="326">
        <f>IFERROR(R61*((Input!$F$20-0.5)/Input!$F$20)*Input!$P$11,0)</f>
        <v>0</v>
      </c>
      <c r="S62" s="326">
        <f>IFERROR(S61*((Input!$F$20-0.5)/Input!$F$20)*Input!$P$11,0)</f>
        <v>0</v>
      </c>
      <c r="T62" s="326">
        <f>IFERROR(T61*((Input!$F$20-0.5)/Input!$F$20)*Input!$P$11,0)</f>
        <v>0</v>
      </c>
      <c r="U62" s="326">
        <f>IFERROR(U61*((Input!$F$20-0.5)/Input!$F$20)*Input!$P$11,0)</f>
        <v>0</v>
      </c>
      <c r="V62" s="326">
        <f>IFERROR(V61*((Input!$F$20-0.5)/Input!$F$20)*Input!$P$11,0)</f>
        <v>0</v>
      </c>
      <c r="W62" s="326">
        <f>IFERROR(W61*((Input!$F$20-0.5)/Input!$F$20)*Input!$P$11,0)</f>
        <v>0</v>
      </c>
      <c r="X62" s="326">
        <f>IFERROR(X61*((Input!$F$20-0.5)/Input!$F$20)*Input!$P$11,0)</f>
        <v>0</v>
      </c>
    </row>
    <row r="82" spans="1:12">
      <c r="A82"/>
      <c r="B82" t="s">
        <v>188</v>
      </c>
      <c r="C82"/>
      <c r="D82"/>
      <c r="E82"/>
      <c r="G82" s="126" t="s">
        <v>145</v>
      </c>
      <c r="H82" s="327">
        <v>1</v>
      </c>
      <c r="I82" s="327">
        <v>2</v>
      </c>
      <c r="J82" s="327">
        <v>3</v>
      </c>
      <c r="K82" s="327">
        <v>4</v>
      </c>
      <c r="L82" s="327">
        <v>5</v>
      </c>
    </row>
    <row r="83" spans="1:12">
      <c r="A83" t="s">
        <v>189</v>
      </c>
      <c r="B83" t="s">
        <v>190</v>
      </c>
      <c r="C83" t="s">
        <v>191</v>
      </c>
      <c r="D83" t="s">
        <v>192</v>
      </c>
      <c r="E83" t="s">
        <v>193</v>
      </c>
      <c r="G83" s="126" t="s">
        <v>733</v>
      </c>
      <c r="H83" s="326">
        <f>SUMIF($E$3:$X$3,H82,$E$56:$X$56)</f>
        <v>0</v>
      </c>
      <c r="I83" s="326">
        <f t="shared" ref="I83:L83" si="11">SUMIF($E$3:$X$3,I82,$E$56:$X$56)</f>
        <v>0</v>
      </c>
      <c r="J83" s="326">
        <f t="shared" si="11"/>
        <v>0</v>
      </c>
      <c r="K83" s="326">
        <f t="shared" si="11"/>
        <v>0</v>
      </c>
      <c r="L83" s="326">
        <f t="shared" si="11"/>
        <v>0</v>
      </c>
    </row>
    <row r="84" spans="1:12">
      <c r="A84">
        <v>1</v>
      </c>
      <c r="B84" s="25">
        <f>SUMIF(Input!H15:H19,"Inv",Input!D15:D19)</f>
        <v>0</v>
      </c>
      <c r="C84" s="25">
        <f>B84*Input!P11/12</f>
        <v>0</v>
      </c>
      <c r="D84" s="25">
        <f>IF(B84=0,0,-PMT(Input!$P$12/12,Input!$F$20*12,$B$84,0,0))</f>
        <v>0</v>
      </c>
      <c r="E84" s="25">
        <f>B84+C84-D84</f>
        <v>0</v>
      </c>
      <c r="G84" s="126" t="s">
        <v>705</v>
      </c>
      <c r="H84" s="326">
        <f>SUMIF($E$3:$X$3,H82,$E$52:$X$52)</f>
        <v>0</v>
      </c>
      <c r="I84" s="326">
        <f t="shared" ref="I84:L84" si="12">SUMIF($E$3:$X$3,I82,$E$52:$X$52)</f>
        <v>0</v>
      </c>
      <c r="J84" s="326">
        <f t="shared" si="12"/>
        <v>0</v>
      </c>
      <c r="K84" s="326">
        <f t="shared" si="12"/>
        <v>0</v>
      </c>
      <c r="L84" s="326">
        <f t="shared" si="12"/>
        <v>0</v>
      </c>
    </row>
    <row r="85" spans="1:12">
      <c r="A85">
        <v>2</v>
      </c>
      <c r="B85" s="25">
        <f>E84</f>
        <v>0</v>
      </c>
      <c r="C85" s="25">
        <f>B85*Input!$P$11/12</f>
        <v>0</v>
      </c>
      <c r="D85" s="25">
        <f>IF(B85=0,0,-PMT(Input!$P$12/12,Input!$F$20*12,$B$84,0,0))</f>
        <v>0</v>
      </c>
      <c r="E85" s="25">
        <f>B85+C85-D85</f>
        <v>0</v>
      </c>
      <c r="G85" s="126" t="s">
        <v>706</v>
      </c>
      <c r="H85" s="326">
        <f>H84+H83</f>
        <v>0</v>
      </c>
      <c r="I85" s="326">
        <f t="shared" ref="I85:L85" si="13">I84+I83</f>
        <v>0</v>
      </c>
      <c r="J85" s="326">
        <f t="shared" si="13"/>
        <v>0</v>
      </c>
      <c r="K85" s="326">
        <f t="shared" si="13"/>
        <v>0</v>
      </c>
      <c r="L85" s="326">
        <f t="shared" si="13"/>
        <v>0</v>
      </c>
    </row>
    <row r="86" spans="1:12">
      <c r="A86">
        <v>3</v>
      </c>
      <c r="B86" s="25">
        <f t="shared" ref="B86:B95" si="14">E85</f>
        <v>0</v>
      </c>
      <c r="C86" s="25">
        <f>B86*Input!$P$11/12</f>
        <v>0</v>
      </c>
      <c r="D86" s="25">
        <f>IF(B86=0,0,-PMT(Input!$P$12/12,Input!$F$20*12,$B$84,0,0))</f>
        <v>0</v>
      </c>
      <c r="E86" s="25">
        <f t="shared" ref="E86:E95" si="15">B86+C86-D86</f>
        <v>0</v>
      </c>
      <c r="G86" s="126" t="s">
        <v>738</v>
      </c>
      <c r="H86" s="126">
        <f>HLOOKUP(H85,HEM!$F$1:$S$2,2,TRUE)</f>
        <v>3</v>
      </c>
      <c r="I86" s="126">
        <f>HLOOKUP(I85,HEM!$F$1:$S$2,2,TRUE)</f>
        <v>3</v>
      </c>
      <c r="J86" s="126">
        <f>HLOOKUP(J85,HEM!$F$1:$S$2,2,TRUE)</f>
        <v>3</v>
      </c>
      <c r="K86" s="126">
        <f>HLOOKUP(K85,HEM!$F$1:$S$2,2,TRUE)</f>
        <v>3</v>
      </c>
      <c r="L86" s="126">
        <f>HLOOKUP(L85,HEM!$F$1:$S$2,2,TRUE)</f>
        <v>3</v>
      </c>
    </row>
    <row r="87" spans="1:12">
      <c r="A87">
        <v>4</v>
      </c>
      <c r="B87" s="25">
        <f t="shared" si="14"/>
        <v>0</v>
      </c>
      <c r="C87" s="25">
        <f>B87*Input!$P$11/12</f>
        <v>0</v>
      </c>
      <c r="D87" s="25">
        <f>IF(B87=0,0,-PMT(Input!$P$12/12,Input!$F$20*12,$B$84,0,0))</f>
        <v>0</v>
      </c>
      <c r="E87" s="25">
        <f t="shared" si="15"/>
        <v>0</v>
      </c>
      <c r="G87" s="126" t="s">
        <v>739</v>
      </c>
      <c r="H87" s="323">
        <f>Input!F84*12*(1+Console!$AO$3)*H89</f>
        <v>0</v>
      </c>
      <c r="I87" s="323">
        <f>Input!H84*12*(1+Console!$AO$3)*I89</f>
        <v>0</v>
      </c>
      <c r="J87" s="323">
        <f>Input!J84*12*(1+Console!$AO$3)*J89</f>
        <v>0</v>
      </c>
      <c r="K87" s="323">
        <f>Input!L84*12*(1+Console!$AO$3)*K89</f>
        <v>0</v>
      </c>
      <c r="L87" s="323">
        <f>Input!N84*12*(1+Console!$AO$3)*L89</f>
        <v>0</v>
      </c>
    </row>
    <row r="88" spans="1:12">
      <c r="A88">
        <v>5</v>
      </c>
      <c r="B88" s="25">
        <f t="shared" si="14"/>
        <v>0</v>
      </c>
      <c r="C88" s="25">
        <f>B88*Input!$P$11/12</f>
        <v>0</v>
      </c>
      <c r="D88" s="25">
        <f>IF(B88=0,0,-PMT(Input!$P$12/12,Input!$F$20*12,$B$84,0,0))</f>
        <v>0</v>
      </c>
      <c r="E88" s="25">
        <f t="shared" si="15"/>
        <v>0</v>
      </c>
      <c r="G88" s="126" t="s">
        <v>740</v>
      </c>
      <c r="H88" s="326">
        <f>SUM(Input!$F$87:$F$98)*12*H89</f>
        <v>0</v>
      </c>
      <c r="I88" s="326">
        <f>SUM(Input!$H$87:$H$98)*12*I89</f>
        <v>0</v>
      </c>
      <c r="J88" s="326">
        <f>SUM(Input!$J$87:$J$98)*12*J89</f>
        <v>0</v>
      </c>
      <c r="K88" s="326">
        <f>SUM(Input!$L$87:$L$98)*12*K89</f>
        <v>0</v>
      </c>
      <c r="L88" s="326">
        <f>SUM(Input!$N$87:$N$98)*12*L89</f>
        <v>0</v>
      </c>
    </row>
    <row r="89" spans="1:12">
      <c r="A89">
        <v>6</v>
      </c>
      <c r="B89" s="25">
        <f t="shared" si="14"/>
        <v>0</v>
      </c>
      <c r="C89" s="25">
        <f>B89*Input!$P$11/12</f>
        <v>0</v>
      </c>
      <c r="D89" s="25">
        <f>IF(B89=0,0,-PMT(Input!$P$12/12,Input!$F$20*12,$B$84,0,0))</f>
        <v>0</v>
      </c>
      <c r="E89" s="25">
        <f t="shared" si="15"/>
        <v>0</v>
      </c>
      <c r="G89" s="126" t="s">
        <v>765</v>
      </c>
      <c r="H89" s="126">
        <f>IF(Input!$F$80&gt;=Formulas!H82,1,0)</f>
        <v>1</v>
      </c>
      <c r="I89" s="126">
        <f>IF(Input!$F$80&gt;=Formulas!I82,1,0)</f>
        <v>0</v>
      </c>
      <c r="J89" s="126">
        <f>IF(Input!$F$80&gt;=Formulas!J82,1,0)</f>
        <v>0</v>
      </c>
      <c r="K89" s="126">
        <f>IF(Input!$F$80&gt;=Formulas!K82,1,0)</f>
        <v>0</v>
      </c>
      <c r="L89" s="126">
        <f>IF(Input!$F$80&gt;=Formulas!L82,1,0)</f>
        <v>0</v>
      </c>
    </row>
    <row r="90" spans="1:12">
      <c r="A90">
        <v>7</v>
      </c>
      <c r="B90" s="25">
        <f t="shared" si="14"/>
        <v>0</v>
      </c>
      <c r="C90" s="25">
        <f>B90*Input!$P$11/12</f>
        <v>0</v>
      </c>
      <c r="D90" s="25">
        <f>IF(B90=0,0,-PMT(Input!$P$12/12,Input!$F$20*12,$B$84,0,0))</f>
        <v>0</v>
      </c>
      <c r="E90" s="25">
        <f t="shared" si="15"/>
        <v>0</v>
      </c>
      <c r="G90" s="126" t="s">
        <v>741</v>
      </c>
      <c r="H90" s="323">
        <f>MAX(H87:H88)*H89</f>
        <v>0</v>
      </c>
      <c r="I90" s="323">
        <f t="shared" ref="I90:L90" si="16">MAX(I87:I88)*I89</f>
        <v>0</v>
      </c>
      <c r="J90" s="323">
        <f t="shared" si="16"/>
        <v>0</v>
      </c>
      <c r="K90" s="323">
        <f t="shared" si="16"/>
        <v>0</v>
      </c>
      <c r="L90" s="323">
        <f t="shared" si="16"/>
        <v>0</v>
      </c>
    </row>
    <row r="91" spans="1:12">
      <c r="A91">
        <v>8</v>
      </c>
      <c r="B91" s="25">
        <f t="shared" si="14"/>
        <v>0</v>
      </c>
      <c r="C91" s="25">
        <f>B91*Input!$P$11/12</f>
        <v>0</v>
      </c>
      <c r="D91" s="25">
        <f>IF(B91=0,0,-PMT(Input!$P$12/12,Input!$F$20*12,$B$84,0,0))</f>
        <v>0</v>
      </c>
      <c r="E91" s="25">
        <f t="shared" si="15"/>
        <v>0</v>
      </c>
    </row>
    <row r="92" spans="1:12">
      <c r="A92">
        <v>9</v>
      </c>
      <c r="B92" s="25">
        <f t="shared" si="14"/>
        <v>0</v>
      </c>
      <c r="C92" s="25">
        <f>B92*Input!$P$11/12</f>
        <v>0</v>
      </c>
      <c r="D92" s="25">
        <f>IF(B92=0,0,-PMT(Input!$P$12/12,Input!$F$20*12,$B$84,0,0))</f>
        <v>0</v>
      </c>
      <c r="E92" s="25">
        <f t="shared" si="15"/>
        <v>0</v>
      </c>
    </row>
    <row r="93" spans="1:12">
      <c r="A93">
        <v>10</v>
      </c>
      <c r="B93" s="25">
        <f t="shared" si="14"/>
        <v>0</v>
      </c>
      <c r="C93" s="25">
        <f>B93*Input!$P$11/12</f>
        <v>0</v>
      </c>
      <c r="D93" s="25">
        <f>IF(B93=0,0,-PMT(Input!$P$12/12,Input!$F$20*12,$B$84,0,0))</f>
        <v>0</v>
      </c>
      <c r="E93" s="25">
        <f t="shared" si="15"/>
        <v>0</v>
      </c>
    </row>
    <row r="94" spans="1:12">
      <c r="A94">
        <v>11</v>
      </c>
      <c r="B94" s="25">
        <f t="shared" si="14"/>
        <v>0</v>
      </c>
      <c r="C94" s="25">
        <f>B94*Input!$P$11/12</f>
        <v>0</v>
      </c>
      <c r="D94" s="25">
        <f>IF(B94=0,0,-PMT(Input!$P$12/12,Input!$F$20*12,$B$84,0,0))</f>
        <v>0</v>
      </c>
      <c r="E94" s="25">
        <f t="shared" si="15"/>
        <v>0</v>
      </c>
    </row>
    <row r="95" spans="1:12">
      <c r="A95">
        <v>12</v>
      </c>
      <c r="B95" s="25">
        <f t="shared" si="14"/>
        <v>0</v>
      </c>
      <c r="C95" s="25">
        <f>B95*Input!$P$11/12</f>
        <v>0</v>
      </c>
      <c r="D95" s="25">
        <f>IF(B95=0,0,-PMT(Input!$P$12/12,Input!$F$20*12,$B$84,0,0))</f>
        <v>0</v>
      </c>
      <c r="E95" s="25">
        <f t="shared" si="15"/>
        <v>0</v>
      </c>
    </row>
    <row r="96" spans="1:12">
      <c r="A96" t="s">
        <v>196</v>
      </c>
      <c r="B96"/>
      <c r="C96" s="10">
        <f>IF(Console!BQ3=1,SUM(C84:C95),0)</f>
        <v>0</v>
      </c>
      <c r="D96"/>
      <c r="E96"/>
    </row>
    <row r="97" spans="1:16">
      <c r="C97" s="325"/>
    </row>
    <row r="98" spans="1:16">
      <c r="C98" s="325"/>
    </row>
    <row r="100" spans="1:16">
      <c r="C100" t="s">
        <v>146</v>
      </c>
      <c r="D100" t="s">
        <v>295</v>
      </c>
      <c r="E100" t="s">
        <v>174</v>
      </c>
      <c r="F100" t="s">
        <v>175</v>
      </c>
      <c r="G100" t="s">
        <v>176</v>
      </c>
      <c r="H100" t="s">
        <v>100</v>
      </c>
      <c r="I100" t="s">
        <v>179</v>
      </c>
      <c r="J100" t="s">
        <v>101</v>
      </c>
      <c r="K100" t="s">
        <v>180</v>
      </c>
      <c r="L100" t="s">
        <v>177</v>
      </c>
      <c r="M100" t="s">
        <v>178</v>
      </c>
      <c r="N100" t="s">
        <v>186</v>
      </c>
      <c r="O100" t="s">
        <v>292</v>
      </c>
      <c r="P100" t="s">
        <v>291</v>
      </c>
    </row>
    <row r="101" spans="1:16">
      <c r="A101" s="126" t="s">
        <v>173</v>
      </c>
      <c r="B101" s="126">
        <v>1</v>
      </c>
      <c r="C101" s="126">
        <f>Input!D107</f>
        <v>0</v>
      </c>
      <c r="D101" s="126">
        <f>Input!F107</f>
        <v>0</v>
      </c>
      <c r="E101" s="126">
        <f>Input!H107</f>
        <v>0</v>
      </c>
      <c r="F101" s="126">
        <f>Input!J107</f>
        <v>0</v>
      </c>
      <c r="G101" s="126">
        <f>Input!L107</f>
        <v>0</v>
      </c>
      <c r="H101" s="126">
        <f>IF(C101=$H$100,Console!$AV$9*12,0)</f>
        <v>0</v>
      </c>
      <c r="I101" s="126">
        <f>Input!N107</f>
        <v>0</v>
      </c>
      <c r="J101" s="126">
        <f>Input!L107</f>
        <v>0</v>
      </c>
      <c r="L101">
        <f>IFERROR(VLOOKUP(C101,Console!$AT$4:$AV$12,3,FALSE)*MAX(E101:F101)*VLOOKUP(C101,Console!$AT$4:$AV$12,2,FALSE),0)*12</f>
        <v>0</v>
      </c>
      <c r="M101">
        <f>IFERROR(IF(I101="Yes",0,IF(Console!$AQ$3=Console!$AQ$15,IF(C101=Console!$AT$6,IF(G101&gt;0,G101*12,MAX(L101,G101*12,K101*J101,H101)),MAX(L101,G101*12,K101*J101,H101)),IF(G101&gt;0,G101*12,MAX(L101,G101*12,K101*J101,H101)))),0)</f>
        <v>0</v>
      </c>
      <c r="N101">
        <f>IF(I101="Yes",0,E101)</f>
        <v>0</v>
      </c>
      <c r="O101">
        <v>0</v>
      </c>
      <c r="P101">
        <f>IF(I101="Yes",0,MAX(E101,F101,O101))</f>
        <v>0</v>
      </c>
    </row>
    <row r="102" spans="1:16">
      <c r="B102" s="126">
        <v>2</v>
      </c>
      <c r="C102" s="126">
        <f>Input!D108</f>
        <v>0</v>
      </c>
      <c r="D102" s="126">
        <f>Input!F108</f>
        <v>0</v>
      </c>
      <c r="E102" s="126">
        <f>Input!H108</f>
        <v>0</v>
      </c>
      <c r="F102" s="126">
        <f>Input!J108</f>
        <v>0</v>
      </c>
      <c r="G102" s="126">
        <f>Input!L108</f>
        <v>0</v>
      </c>
      <c r="H102" s="126">
        <f>IF(C102=$H$100,Console!$AV$9*12,0)</f>
        <v>0</v>
      </c>
      <c r="I102" s="126">
        <f>Input!N108</f>
        <v>0</v>
      </c>
      <c r="J102" s="126">
        <f>Input!L108</f>
        <v>0</v>
      </c>
      <c r="L102">
        <f>IFERROR(VLOOKUP(C102,Console!$AT$4:$AV$12,3,FALSE)*MAX(E102:F102)*VLOOKUP(C102,Console!$AT$4:$AV$12,2,FALSE),0)*12</f>
        <v>0</v>
      </c>
      <c r="M102">
        <f>IFERROR(IF(I102="Yes",0,IF(Console!$AQ$3=Console!$AQ$15,IF(C102=Console!$AT$6,IF(G102&gt;0,G102*12,MAX(L102,G102*12,K102*J102,H102)),MAX(L102,G102*12,K102*J102,H102)),IF(G102&gt;0,G102*12,MAX(L102,G102*12,K102*J102,H102)))),0)</f>
        <v>0</v>
      </c>
      <c r="N102">
        <f t="shared" ref="N102:N125" si="17">IF(I102="Yes",0,E102)</f>
        <v>0</v>
      </c>
      <c r="O102">
        <v>0</v>
      </c>
      <c r="P102">
        <f t="shared" ref="P102:P125" si="18">IF(I102="Yes",0,MAX(E102,F102,O102))</f>
        <v>0</v>
      </c>
    </row>
    <row r="103" spans="1:16">
      <c r="B103" s="126">
        <v>3</v>
      </c>
      <c r="C103" s="126">
        <f>Input!D109</f>
        <v>0</v>
      </c>
      <c r="D103" s="126">
        <f>Input!F109</f>
        <v>0</v>
      </c>
      <c r="E103" s="126">
        <f>Input!H109</f>
        <v>0</v>
      </c>
      <c r="F103" s="126">
        <f>Input!J109</f>
        <v>0</v>
      </c>
      <c r="G103" s="126">
        <f>Input!L109</f>
        <v>0</v>
      </c>
      <c r="H103" s="126">
        <f>IF(C103=$H$100,Console!$AV$9*12,0)</f>
        <v>0</v>
      </c>
      <c r="I103" s="126">
        <f>Input!N109</f>
        <v>0</v>
      </c>
      <c r="J103" s="126">
        <f>Input!L109</f>
        <v>0</v>
      </c>
      <c r="L103">
        <f>IFERROR(VLOOKUP(C103,Console!$AT$4:$AV$12,3,FALSE)*MAX(E103:F103)*VLOOKUP(C103,Console!$AT$4:$AV$12,2,FALSE),0)*12</f>
        <v>0</v>
      </c>
      <c r="M103">
        <f>IFERROR(IF(I103="Yes",0,IF(Console!$AQ$3=Console!$AQ$15,IF(C103=Console!$AT$6,IF(G103&gt;0,G103*12,MAX(L103,G103*12,K103*J103,H103)),MAX(L103,G103*12,K103*J103,H103)),IF(G103&gt;0,G103*12,MAX(L103,G103*12,K103*J103,H103)))),0)</f>
        <v>0</v>
      </c>
      <c r="N103">
        <f t="shared" si="17"/>
        <v>0</v>
      </c>
      <c r="O103">
        <v>0</v>
      </c>
      <c r="P103">
        <f t="shared" si="18"/>
        <v>0</v>
      </c>
    </row>
    <row r="104" spans="1:16">
      <c r="B104" s="126">
        <v>4</v>
      </c>
      <c r="C104" s="126">
        <f>Input!D110</f>
        <v>0</v>
      </c>
      <c r="D104" s="126">
        <f>Input!F110</f>
        <v>0</v>
      </c>
      <c r="E104" s="126">
        <f>Input!H110</f>
        <v>0</v>
      </c>
      <c r="F104" s="126">
        <f>Input!J110</f>
        <v>0</v>
      </c>
      <c r="G104" s="126">
        <f>Input!L110</f>
        <v>0</v>
      </c>
      <c r="H104" s="126">
        <f>IF(C104=$H$100,Console!$AV$9*12,0)</f>
        <v>0</v>
      </c>
      <c r="I104" s="126">
        <f>Input!N110</f>
        <v>0</v>
      </c>
      <c r="J104" s="126">
        <f>Input!L110</f>
        <v>0</v>
      </c>
      <c r="L104">
        <f>IFERROR(VLOOKUP(C104,Console!$AT$4:$AV$12,3,FALSE)*MAX(E104:F104)*VLOOKUP(C104,Console!$AT$4:$AV$12,2,FALSE),0)*12</f>
        <v>0</v>
      </c>
      <c r="M104">
        <f>IFERROR(IF(I104="Yes",0,IF(Console!$AQ$3=Console!$AQ$15,IF(C104=Console!$AT$6,IF(G104&gt;0,G104*12,MAX(L104,G104*12,K104*J104,H104)),MAX(L104,G104*12,K104*J104,H104)),IF(G104&gt;0,G104*12,MAX(L104,G104*12,K104*J104,H104)))),0)</f>
        <v>0</v>
      </c>
      <c r="N104">
        <f t="shared" si="17"/>
        <v>0</v>
      </c>
      <c r="O104">
        <v>0</v>
      </c>
      <c r="P104">
        <f t="shared" si="18"/>
        <v>0</v>
      </c>
    </row>
    <row r="105" spans="1:16">
      <c r="B105" s="126">
        <v>5</v>
      </c>
      <c r="C105" s="126">
        <f>Input!D111</f>
        <v>0</v>
      </c>
      <c r="D105" s="126">
        <f>Input!F111</f>
        <v>0</v>
      </c>
      <c r="E105" s="126">
        <f>Input!H111</f>
        <v>0</v>
      </c>
      <c r="F105" s="126">
        <f>Input!J111</f>
        <v>0</v>
      </c>
      <c r="G105" s="126">
        <f>Input!L111</f>
        <v>0</v>
      </c>
      <c r="H105" s="126">
        <f>IF(C105=$H$100,Console!$AV$9*12,0)</f>
        <v>0</v>
      </c>
      <c r="I105" s="126">
        <f>Input!N111</f>
        <v>0</v>
      </c>
      <c r="J105" s="126">
        <f>Input!L111</f>
        <v>0</v>
      </c>
      <c r="L105">
        <f>IFERROR(VLOOKUP(C105,Console!$AT$4:$AV$12,3,FALSE)*MAX(E105:F105)*VLOOKUP(C105,Console!$AT$4:$AV$12,2,FALSE),0)*12</f>
        <v>0</v>
      </c>
      <c r="M105">
        <f>IFERROR(IF(I105="Yes",0,IF(Console!$AQ$3=Console!$AQ$15,IF(C105=Console!$AT$6,IF(G105&gt;0,G105*12,MAX(L105,G105*12,K105*J105,H105)),MAX(L105,G105*12,K105*J105,H105)),IF(G105&gt;0,G105*12,MAX(L105,G105*12,K105*J105,H105)))),0)</f>
        <v>0</v>
      </c>
      <c r="N105">
        <f t="shared" si="17"/>
        <v>0</v>
      </c>
      <c r="O105">
        <v>0</v>
      </c>
      <c r="P105">
        <f t="shared" si="18"/>
        <v>0</v>
      </c>
    </row>
    <row r="106" spans="1:16">
      <c r="B106" s="126">
        <v>6</v>
      </c>
      <c r="C106" s="126">
        <f>Input!D112</f>
        <v>0</v>
      </c>
      <c r="D106" s="126">
        <f>Input!F112</f>
        <v>0</v>
      </c>
      <c r="E106" s="126">
        <f>Input!H112</f>
        <v>0</v>
      </c>
      <c r="F106" s="126">
        <f>Input!J112</f>
        <v>0</v>
      </c>
      <c r="G106" s="126">
        <f>Input!L112</f>
        <v>0</v>
      </c>
      <c r="H106" s="126">
        <f>IF(C106=$H$100,Console!$AV$9*12,0)</f>
        <v>0</v>
      </c>
      <c r="I106" s="126">
        <f>Input!N112</f>
        <v>0</v>
      </c>
      <c r="J106" s="126">
        <f>Input!L112</f>
        <v>0</v>
      </c>
      <c r="L106">
        <f>IFERROR(VLOOKUP(C106,Console!$AT$4:$AV$12,3,FALSE)*MAX(E106:F106)*VLOOKUP(C106,Console!$AT$4:$AV$12,2,FALSE),0)*12</f>
        <v>0</v>
      </c>
      <c r="M106">
        <f>IFERROR(IF(I106="Yes",0,IF(Console!$AQ$3=Console!$AQ$15,IF(C106=Console!$AT$6,IF(G106&gt;0,G106*12,MAX(L106,G106*12,K106*J106,H106)),MAX(L106,G106*12,K106*J106,H106)),IF(G106&gt;0,G106*12,MAX(L106,G106*12,K106*J106,H106)))),0)</f>
        <v>0</v>
      </c>
      <c r="N106">
        <f t="shared" si="17"/>
        <v>0</v>
      </c>
      <c r="O106">
        <v>0</v>
      </c>
      <c r="P106">
        <f t="shared" si="18"/>
        <v>0</v>
      </c>
    </row>
    <row r="107" spans="1:16">
      <c r="B107" s="126">
        <v>7</v>
      </c>
      <c r="C107" s="126">
        <f>Input!D113</f>
        <v>0</v>
      </c>
      <c r="D107" s="126">
        <f>Input!F113</f>
        <v>0</v>
      </c>
      <c r="E107" s="126">
        <f>Input!H113</f>
        <v>0</v>
      </c>
      <c r="F107" s="126">
        <f>Input!J113</f>
        <v>0</v>
      </c>
      <c r="G107" s="126">
        <f>Input!L113</f>
        <v>0</v>
      </c>
      <c r="H107" s="126">
        <f>IF(C107=$H$100,Console!$AV$9*12,0)</f>
        <v>0</v>
      </c>
      <c r="I107" s="126">
        <f>Input!N113</f>
        <v>0</v>
      </c>
      <c r="J107" s="126">
        <f>Input!L113</f>
        <v>0</v>
      </c>
      <c r="L107">
        <f>IFERROR(VLOOKUP(C107,Console!$AT$4:$AV$12,3,FALSE)*MAX(E107:F107)*VLOOKUP(C107,Console!$AT$4:$AV$12,2,FALSE),0)*12</f>
        <v>0</v>
      </c>
      <c r="M107">
        <f>IFERROR(IF(I107="Yes",0,IF(Console!$AQ$3=Console!$AQ$15,IF(C107=Console!$AT$6,IF(G107&gt;0,G107*12,MAX(L107,G107*12,K107*J107,H107)),MAX(L107,G107*12,K107*J107,H107)),IF(G107&gt;0,G107*12,MAX(L107,G107*12,K107*J107,H107)))),0)</f>
        <v>0</v>
      </c>
      <c r="N107">
        <f t="shared" si="17"/>
        <v>0</v>
      </c>
      <c r="O107">
        <v>0</v>
      </c>
      <c r="P107">
        <f t="shared" si="18"/>
        <v>0</v>
      </c>
    </row>
    <row r="108" spans="1:16">
      <c r="B108" s="126">
        <v>8</v>
      </c>
      <c r="C108" s="126">
        <f>Input!D114</f>
        <v>0</v>
      </c>
      <c r="D108" s="126">
        <f>Input!F114</f>
        <v>0</v>
      </c>
      <c r="E108" s="126">
        <f>Input!H114</f>
        <v>0</v>
      </c>
      <c r="F108" s="126">
        <f>Input!J114</f>
        <v>0</v>
      </c>
      <c r="G108" s="126">
        <f>Input!L114</f>
        <v>0</v>
      </c>
      <c r="H108" s="126">
        <f>IF(C108=$H$100,Console!$AV$9*12,0)</f>
        <v>0</v>
      </c>
      <c r="I108" s="126">
        <f>Input!N114</f>
        <v>0</v>
      </c>
      <c r="J108" s="126">
        <f>Input!L114</f>
        <v>0</v>
      </c>
      <c r="L108">
        <f>IFERROR(VLOOKUP(C108,Console!$AT$4:$AV$12,3,FALSE)*MAX(E108:F108)*VLOOKUP(C108,Console!$AT$4:$AV$12,2,FALSE),0)*12</f>
        <v>0</v>
      </c>
      <c r="M108">
        <f>IFERROR(IF(I108="Yes",0,IF(Console!$AQ$3=Console!$AQ$15,IF(C108=Console!$AT$6,IF(G108&gt;0,G108*12,MAX(L108,G108*12,K108*J108,H108)),MAX(L108,G108*12,K108*J108,H108)),IF(G108&gt;0,G108*12,MAX(L108,G108*12,K108*J108,H108)))),0)</f>
        <v>0</v>
      </c>
      <c r="N108">
        <f t="shared" si="17"/>
        <v>0</v>
      </c>
      <c r="O108">
        <v>0</v>
      </c>
      <c r="P108">
        <f t="shared" si="18"/>
        <v>0</v>
      </c>
    </row>
    <row r="109" spans="1:16">
      <c r="B109" s="126">
        <v>9</v>
      </c>
      <c r="C109" s="126">
        <f>Input!D115</f>
        <v>0</v>
      </c>
      <c r="D109" s="126">
        <f>Input!F115</f>
        <v>0</v>
      </c>
      <c r="E109" s="126">
        <f>Input!H115</f>
        <v>0</v>
      </c>
      <c r="F109" s="126">
        <f>Input!J115</f>
        <v>0</v>
      </c>
      <c r="G109" s="126">
        <f>Input!L115</f>
        <v>0</v>
      </c>
      <c r="H109" s="126">
        <f>IF(C109=$H$100,Console!$AV$9*12,0)</f>
        <v>0</v>
      </c>
      <c r="I109" s="126">
        <f>Input!N115</f>
        <v>0</v>
      </c>
      <c r="J109" s="126">
        <f>Input!L115</f>
        <v>0</v>
      </c>
      <c r="L109">
        <f>IFERROR(VLOOKUP(C109,Console!$AT$4:$AV$12,3,FALSE)*MAX(E109:F109)*VLOOKUP(C109,Console!$AT$4:$AV$12,2,FALSE),0)*12</f>
        <v>0</v>
      </c>
      <c r="M109">
        <f>IFERROR(IF(I109="Yes",0,IF(Console!$AQ$3=Console!$AQ$15,IF(C109=Console!$AT$6,IF(G109&gt;0,G109*12,MAX(L109,G109*12,K109*J109,H109)),MAX(L109,G109*12,K109*J109,H109)),IF(G109&gt;0,G109*12,MAX(L109,G109*12,K109*J109,H109)))),0)</f>
        <v>0</v>
      </c>
      <c r="N109">
        <f t="shared" si="17"/>
        <v>0</v>
      </c>
      <c r="O109">
        <v>0</v>
      </c>
      <c r="P109">
        <f t="shared" si="18"/>
        <v>0</v>
      </c>
    </row>
    <row r="110" spans="1:16">
      <c r="B110" s="126">
        <v>10</v>
      </c>
      <c r="C110" s="126">
        <f>Input!D116</f>
        <v>0</v>
      </c>
      <c r="D110" s="126">
        <f>Input!F116</f>
        <v>0</v>
      </c>
      <c r="E110" s="126">
        <f>Input!H116</f>
        <v>0</v>
      </c>
      <c r="F110" s="126">
        <f>Input!J116</f>
        <v>0</v>
      </c>
      <c r="G110" s="126">
        <f>Input!L116</f>
        <v>0</v>
      </c>
      <c r="H110" s="126">
        <f>IF(C110=$H$100,Console!$AV$9*12,0)</f>
        <v>0</v>
      </c>
      <c r="I110" s="126">
        <f>Input!N116</f>
        <v>0</v>
      </c>
      <c r="J110" s="126">
        <f>Input!L116</f>
        <v>0</v>
      </c>
      <c r="L110">
        <f>IFERROR(VLOOKUP(C110,Console!$AT$4:$AV$12,3,FALSE)*MAX(E110:F110)*VLOOKUP(C110,Console!$AT$4:$AV$12,2,FALSE),0)*12</f>
        <v>0</v>
      </c>
      <c r="M110">
        <f>IFERROR(IF(I110="Yes",0,IF(Console!$AQ$3=Console!$AQ$15,IF(C110=Console!$AT$6,IF(G110&gt;0,G110*12,MAX(L110,G110*12,K110*J110,H110)),MAX(L110,G110*12,K110*J110,H110)),IF(G110&gt;0,G110*12,MAX(L110,G110*12,K110*J110,H110)))),0)</f>
        <v>0</v>
      </c>
      <c r="N110">
        <f t="shared" si="17"/>
        <v>0</v>
      </c>
      <c r="O110">
        <v>0</v>
      </c>
      <c r="P110">
        <f t="shared" si="18"/>
        <v>0</v>
      </c>
    </row>
    <row r="111" spans="1:16">
      <c r="B111" s="126">
        <v>11</v>
      </c>
      <c r="C111" s="126">
        <f>Input!D117</f>
        <v>0</v>
      </c>
      <c r="D111" s="126">
        <f>Input!F117</f>
        <v>0</v>
      </c>
      <c r="E111" s="126">
        <f>Input!H117</f>
        <v>0</v>
      </c>
      <c r="F111" s="126">
        <f>Input!J117</f>
        <v>0</v>
      </c>
      <c r="G111" s="126">
        <f>Input!L117</f>
        <v>0</v>
      </c>
      <c r="H111" s="126">
        <f>IF(C111=$H$100,Console!$AV$9*12,0)</f>
        <v>0</v>
      </c>
      <c r="I111" s="126">
        <f>Input!N117</f>
        <v>0</v>
      </c>
      <c r="J111" s="126">
        <f>Input!L117</f>
        <v>0</v>
      </c>
      <c r="L111">
        <f>IFERROR(VLOOKUP(C111,Console!$AT$4:$AV$12,3,FALSE)*MAX(E111:F111)*VLOOKUP(C111,Console!$AT$4:$AV$12,2,FALSE),0)*12</f>
        <v>0</v>
      </c>
      <c r="M111">
        <f>IFERROR(IF(I111="Yes",0,IF(Console!$AQ$3=Console!$AQ$15,IF(C111=Console!$AT$6,IF(G111&gt;0,G111*12,MAX(L111,G111*12,K111*J111,H111)),MAX(L111,G111*12,K111*J111,H111)),IF(G111&gt;0,G111*12,MAX(L111,G111*12,K111*J111,H111)))),0)</f>
        <v>0</v>
      </c>
      <c r="N111">
        <f t="shared" si="17"/>
        <v>0</v>
      </c>
      <c r="O111">
        <v>0</v>
      </c>
      <c r="P111">
        <f t="shared" si="18"/>
        <v>0</v>
      </c>
    </row>
    <row r="112" spans="1:16">
      <c r="B112" s="126">
        <v>12</v>
      </c>
      <c r="C112" s="126">
        <f>Input!D118</f>
        <v>0</v>
      </c>
      <c r="D112" s="126">
        <f>Input!F118</f>
        <v>0</v>
      </c>
      <c r="E112" s="126">
        <f>Input!H118</f>
        <v>0</v>
      </c>
      <c r="F112" s="126">
        <f>Input!J118</f>
        <v>0</v>
      </c>
      <c r="G112" s="126">
        <f>Input!L118</f>
        <v>0</v>
      </c>
      <c r="H112" s="126">
        <f>IF(C112=$H$100,Console!$AV$9*12,0)</f>
        <v>0</v>
      </c>
      <c r="I112" s="126">
        <f>Input!N118</f>
        <v>0</v>
      </c>
      <c r="J112" s="126">
        <f>Input!L118</f>
        <v>0</v>
      </c>
      <c r="L112">
        <f>IFERROR(VLOOKUP(C112,Console!$AT$4:$AV$12,3,FALSE)*MAX(E112:F112)*VLOOKUP(C112,Console!$AT$4:$AV$12,2,FALSE),0)*12</f>
        <v>0</v>
      </c>
      <c r="M112">
        <f>IFERROR(IF(I112="Yes",0,IF(Console!$AQ$3=Console!$AQ$15,IF(C112=Console!$AT$6,IF(G112&gt;0,G112*12,MAX(L112,G112*12,K112*J112,H112)),MAX(L112,G112*12,K112*J112,H112)),IF(G112&gt;0,G112*12,MAX(L112,G112*12,K112*J112,H112)))),0)</f>
        <v>0</v>
      </c>
      <c r="N112">
        <f t="shared" si="17"/>
        <v>0</v>
      </c>
      <c r="O112">
        <v>0</v>
      </c>
      <c r="P112">
        <f t="shared" si="18"/>
        <v>0</v>
      </c>
    </row>
    <row r="113" spans="2:16">
      <c r="B113" s="126">
        <v>13</v>
      </c>
      <c r="C113" s="126">
        <f>Input!D119</f>
        <v>0</v>
      </c>
      <c r="D113" s="126">
        <f>Input!F119</f>
        <v>0</v>
      </c>
      <c r="E113" s="126">
        <f>Input!H119</f>
        <v>0</v>
      </c>
      <c r="F113" s="126">
        <f>Input!J119</f>
        <v>0</v>
      </c>
      <c r="G113" s="126">
        <f>Input!L119</f>
        <v>0</v>
      </c>
      <c r="H113" s="126">
        <f>IF(C113=$H$100,Console!$AV$9*12,0)</f>
        <v>0</v>
      </c>
      <c r="I113" s="126">
        <f>Input!N119</f>
        <v>0</v>
      </c>
      <c r="J113" s="126">
        <f>Input!L119</f>
        <v>0</v>
      </c>
      <c r="L113">
        <f>IFERROR(VLOOKUP(C113,Console!$AT$4:$AV$12,3,FALSE)*MAX(E113:F113)*VLOOKUP(C113,Console!$AT$4:$AV$12,2,FALSE),0)*12</f>
        <v>0</v>
      </c>
      <c r="M113">
        <f>IFERROR(IF(I113="Yes",0,IF(Console!$AQ$3=Console!$AQ$15,IF(C113=Console!$AT$6,IF(G113&gt;0,G113*12,MAX(L113,G113*12,K113*J113,H113)),MAX(L113,G113*12,K113*J113,H113)),IF(G113&gt;0,G113*12,MAX(L113,G113*12,K113*J113,H113)))),0)</f>
        <v>0</v>
      </c>
      <c r="N113">
        <f t="shared" si="17"/>
        <v>0</v>
      </c>
      <c r="O113">
        <v>0</v>
      </c>
      <c r="P113">
        <f t="shared" si="18"/>
        <v>0</v>
      </c>
    </row>
    <row r="114" spans="2:16">
      <c r="B114" s="126">
        <v>14</v>
      </c>
      <c r="C114" s="126">
        <f>Input!D120</f>
        <v>0</v>
      </c>
      <c r="D114" s="126">
        <f>Input!F120</f>
        <v>0</v>
      </c>
      <c r="E114" s="126">
        <f>Input!H120</f>
        <v>0</v>
      </c>
      <c r="F114" s="126">
        <f>Input!J120</f>
        <v>0</v>
      </c>
      <c r="G114" s="126">
        <f>Input!L120</f>
        <v>0</v>
      </c>
      <c r="H114" s="126">
        <f>IF(C114=$H$100,Console!$AV$9*12,0)</f>
        <v>0</v>
      </c>
      <c r="I114" s="126">
        <f>Input!N120</f>
        <v>0</v>
      </c>
      <c r="J114" s="126">
        <f>Input!L120</f>
        <v>0</v>
      </c>
      <c r="L114">
        <f>IFERROR(VLOOKUP(C114,Console!$AT$4:$AV$12,3,FALSE)*MAX(E114:F114)*VLOOKUP(C114,Console!$AT$4:$AV$12,2,FALSE),0)*12</f>
        <v>0</v>
      </c>
      <c r="M114">
        <f>IFERROR(IF(I114="Yes",0,IF(Console!$AQ$3=Console!$AQ$15,IF(C114=Console!$AT$6,IF(G114&gt;0,G114*12,MAX(L114,G114*12,K114*J114,H114)),MAX(L114,G114*12,K114*J114,H114)),IF(G114&gt;0,G114*12,MAX(L114,G114*12,K114*J114,H114)))),0)</f>
        <v>0</v>
      </c>
      <c r="N114">
        <f t="shared" si="17"/>
        <v>0</v>
      </c>
      <c r="O114">
        <v>0</v>
      </c>
      <c r="P114">
        <f t="shared" si="18"/>
        <v>0</v>
      </c>
    </row>
    <row r="115" spans="2:16">
      <c r="B115" s="126">
        <v>15</v>
      </c>
      <c r="C115" s="126">
        <f>Input!D121</f>
        <v>0</v>
      </c>
      <c r="D115" s="126">
        <f>Input!F121</f>
        <v>0</v>
      </c>
      <c r="E115" s="126">
        <f>Input!H121</f>
        <v>0</v>
      </c>
      <c r="F115" s="126">
        <f>Input!J121</f>
        <v>0</v>
      </c>
      <c r="G115" s="126">
        <f>Input!L121</f>
        <v>0</v>
      </c>
      <c r="H115" s="126">
        <f>IF(C115=$H$100,Console!$AV$9*12,0)</f>
        <v>0</v>
      </c>
      <c r="I115" s="126">
        <f>Input!N121</f>
        <v>0</v>
      </c>
      <c r="J115" s="126">
        <f>Input!L121</f>
        <v>0</v>
      </c>
      <c r="L115">
        <f>IFERROR(VLOOKUP(C115,Console!$AT$4:$AV$12,3,FALSE)*MAX(E115:F115)*VLOOKUP(C115,Console!$AT$4:$AV$12,2,FALSE),0)*12</f>
        <v>0</v>
      </c>
      <c r="M115">
        <f>IFERROR(IF(I115="Yes",0,IF(Console!$AQ$3=Console!$AQ$15,IF(C115=Console!$AT$6,IF(G115&gt;0,G115*12,MAX(L115,G115*12,K115*J115,H115)),MAX(L115,G115*12,K115*J115,H115)),IF(G115&gt;0,G115*12,MAX(L115,G115*12,K115*J115,H115)))),0)</f>
        <v>0</v>
      </c>
      <c r="N115">
        <f t="shared" si="17"/>
        <v>0</v>
      </c>
      <c r="O115">
        <v>0</v>
      </c>
      <c r="P115">
        <f t="shared" si="18"/>
        <v>0</v>
      </c>
    </row>
    <row r="116" spans="2:16">
      <c r="B116" s="126">
        <v>16</v>
      </c>
      <c r="C116" s="126">
        <f>Input!D122</f>
        <v>0</v>
      </c>
      <c r="D116" s="126">
        <f>Input!F122</f>
        <v>0</v>
      </c>
      <c r="E116" s="126">
        <f>Input!H122</f>
        <v>0</v>
      </c>
      <c r="F116" s="126">
        <f>Input!J122</f>
        <v>0</v>
      </c>
      <c r="G116" s="126">
        <f>Input!L122</f>
        <v>0</v>
      </c>
      <c r="H116" s="126">
        <f>IF(C116=$H$100,Console!$AV$9*12,0)</f>
        <v>0</v>
      </c>
      <c r="I116" s="126">
        <f>Input!N122</f>
        <v>0</v>
      </c>
      <c r="J116" s="126">
        <f>Input!L122</f>
        <v>0</v>
      </c>
      <c r="L116">
        <f>IFERROR(VLOOKUP(C116,Console!$AT$4:$AV$12,3,FALSE)*MAX(E116:F116)*VLOOKUP(C116,Console!$AT$4:$AV$12,2,FALSE),0)*12</f>
        <v>0</v>
      </c>
      <c r="M116">
        <f>IFERROR(IF(I116="Yes",0,IF(Console!$AQ$3=Console!$AQ$15,IF(C116=Console!$AT$6,IF(G116&gt;0,G116*12,MAX(L116,G116*12,K116*J116,H116)),MAX(L116,G116*12,K116*J116,H116)),IF(G116&gt;0,G116*12,MAX(L116,G116*12,K116*J116,H116)))),0)</f>
        <v>0</v>
      </c>
      <c r="N116">
        <f t="shared" si="17"/>
        <v>0</v>
      </c>
      <c r="O116">
        <v>0</v>
      </c>
      <c r="P116">
        <f t="shared" si="18"/>
        <v>0</v>
      </c>
    </row>
    <row r="117" spans="2:16">
      <c r="B117" s="126">
        <v>17</v>
      </c>
      <c r="C117" s="126">
        <f>Input!D123</f>
        <v>0</v>
      </c>
      <c r="D117" s="126">
        <f>Input!F123</f>
        <v>0</v>
      </c>
      <c r="E117" s="126">
        <f>Input!H123</f>
        <v>0</v>
      </c>
      <c r="F117" s="126">
        <f>Input!J123</f>
        <v>0</v>
      </c>
      <c r="G117" s="126">
        <f>Input!L123</f>
        <v>0</v>
      </c>
      <c r="H117" s="126">
        <f>IF(C117=$H$100,Console!$AV$9*12,0)</f>
        <v>0</v>
      </c>
      <c r="I117" s="126">
        <f>Input!N123</f>
        <v>0</v>
      </c>
      <c r="J117" s="126">
        <f>Input!L123</f>
        <v>0</v>
      </c>
      <c r="L117">
        <f>IFERROR(VLOOKUP(C117,Console!$AT$4:$AV$12,3,FALSE)*MAX(E117:F117)*VLOOKUP(C117,Console!$AT$4:$AV$12,2,FALSE),0)*12</f>
        <v>0</v>
      </c>
      <c r="M117">
        <f>IFERROR(IF(I117="Yes",0,IF(Console!$AQ$3=Console!$AQ$15,IF(C117=Console!$AT$6,IF(G117&gt;0,G117*12,MAX(L117,G117*12,K117*J117,H117)),MAX(L117,G117*12,K117*J117,H117)),IF(G117&gt;0,G117*12,MAX(L117,G117*12,K117*J117,H117)))),0)</f>
        <v>0</v>
      </c>
      <c r="N117">
        <f t="shared" si="17"/>
        <v>0</v>
      </c>
      <c r="O117">
        <v>0</v>
      </c>
      <c r="P117">
        <f t="shared" si="18"/>
        <v>0</v>
      </c>
    </row>
    <row r="118" spans="2:16">
      <c r="B118" s="126">
        <v>18</v>
      </c>
      <c r="C118" s="126">
        <f>Input!D124</f>
        <v>0</v>
      </c>
      <c r="D118" s="126">
        <f>Input!F124</f>
        <v>0</v>
      </c>
      <c r="E118" s="126">
        <f>Input!H124</f>
        <v>0</v>
      </c>
      <c r="F118" s="126">
        <f>Input!J124</f>
        <v>0</v>
      </c>
      <c r="G118" s="126">
        <f>Input!L124</f>
        <v>0</v>
      </c>
      <c r="H118" s="126">
        <f>IF(C118=$H$100,Console!$AV$9*12,0)</f>
        <v>0</v>
      </c>
      <c r="I118" s="126">
        <f>Input!N124</f>
        <v>0</v>
      </c>
      <c r="J118" s="126">
        <f>Input!L124</f>
        <v>0</v>
      </c>
      <c r="L118">
        <f>IFERROR(VLOOKUP(C118,Console!$AT$4:$AV$12,3,FALSE)*MAX(E118:F118)*VLOOKUP(C118,Console!$AT$4:$AV$12,2,FALSE),0)*12</f>
        <v>0</v>
      </c>
      <c r="M118">
        <f>IFERROR(IF(I118="Yes",0,IF(Console!$AQ$3=Console!$AQ$15,IF(C118=Console!$AT$6,IF(G118&gt;0,G118*12,MAX(L118,G118*12,K118*J118,H118)),MAX(L118,G118*12,K118*J118,H118)),IF(G118&gt;0,G118*12,MAX(L118,G118*12,K118*J118,H118)))),0)</f>
        <v>0</v>
      </c>
      <c r="N118">
        <f t="shared" si="17"/>
        <v>0</v>
      </c>
      <c r="O118">
        <v>0</v>
      </c>
      <c r="P118">
        <f t="shared" si="18"/>
        <v>0</v>
      </c>
    </row>
    <row r="119" spans="2:16">
      <c r="B119" s="126">
        <v>19</v>
      </c>
      <c r="C119" s="126">
        <f>Input!D125</f>
        <v>0</v>
      </c>
      <c r="D119" s="126">
        <f>Input!F125</f>
        <v>0</v>
      </c>
      <c r="E119" s="126">
        <f>Input!H125</f>
        <v>0</v>
      </c>
      <c r="F119" s="126">
        <f>Input!J125</f>
        <v>0</v>
      </c>
      <c r="G119" s="126">
        <f>Input!L125</f>
        <v>0</v>
      </c>
      <c r="H119" s="126">
        <f>IF(C119=$H$100,Console!$AV$9*12,0)</f>
        <v>0</v>
      </c>
      <c r="I119" s="126">
        <f>Input!N125</f>
        <v>0</v>
      </c>
      <c r="J119" s="126">
        <f>Input!L125</f>
        <v>0</v>
      </c>
      <c r="L119">
        <f>IFERROR(VLOOKUP(C119,Console!$AT$4:$AV$12,3,FALSE)*MAX(E119:F119)*VLOOKUP(C119,Console!$AT$4:$AV$12,2,FALSE),0)*12</f>
        <v>0</v>
      </c>
      <c r="M119">
        <f>IFERROR(IF(I119="Yes",0,IF(Console!$AQ$3=Console!$AQ$15,IF(C119=Console!$AT$6,IF(G119&gt;0,G119*12,MAX(L119,G119*12,K119*J119,H119)),MAX(L119,G119*12,K119*J119,H119)),IF(G119&gt;0,G119*12,MAX(L119,G119*12,K119*J119,H119)))),0)</f>
        <v>0</v>
      </c>
      <c r="N119">
        <f t="shared" si="17"/>
        <v>0</v>
      </c>
      <c r="O119">
        <v>0</v>
      </c>
      <c r="P119">
        <f t="shared" si="18"/>
        <v>0</v>
      </c>
    </row>
    <row r="120" spans="2:16">
      <c r="B120" s="126">
        <v>20</v>
      </c>
      <c r="C120" s="126">
        <f>Input!D126</f>
        <v>0</v>
      </c>
      <c r="D120" s="126">
        <f>Input!F126</f>
        <v>0</v>
      </c>
      <c r="E120" s="126">
        <f>Input!H126</f>
        <v>0</v>
      </c>
      <c r="F120" s="126">
        <f>Input!J126</f>
        <v>0</v>
      </c>
      <c r="G120" s="126">
        <f>Input!L126</f>
        <v>0</v>
      </c>
      <c r="H120" s="126">
        <f>IF(C120=$H$100,Console!$AV$9*12,0)</f>
        <v>0</v>
      </c>
      <c r="I120" s="126">
        <f>Input!N126</f>
        <v>0</v>
      </c>
      <c r="J120" s="126">
        <f>Input!L126</f>
        <v>0</v>
      </c>
      <c r="L120">
        <f>IFERROR(VLOOKUP(C120,Console!$AT$4:$AV$12,3,FALSE)*MAX(E120:F120)*VLOOKUP(C120,Console!$AT$4:$AV$12,2,FALSE),0)*12</f>
        <v>0</v>
      </c>
      <c r="M120">
        <f>IFERROR(IF(I120="Yes",0,IF(Console!$AQ$3=Console!$AQ$15,IF(C120=Console!$AT$6,IF(G120&gt;0,G120*12,MAX(L120,G120*12,K120*J120,H120)),MAX(L120,G120*12,K120*J120,H120)),IF(G120&gt;0,G120*12,MAX(L120,G120*12,K120*J120,H120)))),0)</f>
        <v>0</v>
      </c>
      <c r="N120">
        <f t="shared" si="17"/>
        <v>0</v>
      </c>
      <c r="O120">
        <v>0</v>
      </c>
      <c r="P120">
        <f t="shared" si="18"/>
        <v>0</v>
      </c>
    </row>
    <row r="121" spans="2:16">
      <c r="B121" s="126">
        <v>21</v>
      </c>
      <c r="C121" s="126">
        <f>Input!D127</f>
        <v>0</v>
      </c>
      <c r="D121" s="126">
        <f>Input!F127</f>
        <v>0</v>
      </c>
      <c r="E121" s="126">
        <f>Input!H127</f>
        <v>0</v>
      </c>
      <c r="F121" s="126">
        <f>Input!J127</f>
        <v>0</v>
      </c>
      <c r="G121" s="126">
        <f>Input!L127</f>
        <v>0</v>
      </c>
      <c r="H121" s="126">
        <f>IF(C121=$H$100,Console!$AV$9*12,0)</f>
        <v>0</v>
      </c>
      <c r="I121" s="126">
        <f>Input!N127</f>
        <v>0</v>
      </c>
      <c r="J121" s="126">
        <f>Input!L127</f>
        <v>0</v>
      </c>
      <c r="L121">
        <f>IFERROR(VLOOKUP(C121,Console!$AT$4:$AV$12,3,FALSE)*MAX(E121:F121)*VLOOKUP(C121,Console!$AT$4:$AV$12,2,FALSE),0)*12</f>
        <v>0</v>
      </c>
      <c r="M121">
        <f>IFERROR(IF(I121="Yes",0,IF(Console!$AQ$3=Console!$AQ$15,IF(C121=Console!$AT$6,IF(G121&gt;0,G121*12,MAX(L121,G121*12,K121*J121,H121)),MAX(L121,G121*12,K121*J121,H121)),IF(G121&gt;0,G121*12,MAX(L121,G121*12,K121*J121,H121)))),0)</f>
        <v>0</v>
      </c>
      <c r="N121">
        <f t="shared" si="17"/>
        <v>0</v>
      </c>
      <c r="O121">
        <v>0</v>
      </c>
      <c r="P121">
        <f t="shared" si="18"/>
        <v>0</v>
      </c>
    </row>
    <row r="122" spans="2:16">
      <c r="B122" s="126">
        <v>22</v>
      </c>
      <c r="C122" s="126">
        <f>Input!D128</f>
        <v>0</v>
      </c>
      <c r="D122" s="126">
        <f>Input!F128</f>
        <v>0</v>
      </c>
      <c r="E122" s="126">
        <f>Input!H128</f>
        <v>0</v>
      </c>
      <c r="F122" s="126">
        <f>Input!J128</f>
        <v>0</v>
      </c>
      <c r="G122" s="126">
        <f>Input!L128</f>
        <v>0</v>
      </c>
      <c r="H122" s="126">
        <f>IF(C122=$H$100,Console!$AV$9*12,0)</f>
        <v>0</v>
      </c>
      <c r="I122" s="126">
        <f>Input!N128</f>
        <v>0</v>
      </c>
      <c r="J122" s="126">
        <f>Input!L128</f>
        <v>0</v>
      </c>
      <c r="L122">
        <f>IFERROR(VLOOKUP(C122,Console!$AT$4:$AV$12,3,FALSE)*MAX(E122:F122)*VLOOKUP(C122,Console!$AT$4:$AV$12,2,FALSE),0)*12</f>
        <v>0</v>
      </c>
      <c r="M122">
        <f>IFERROR(IF(I122="Yes",0,IF(Console!$AQ$3=Console!$AQ$15,IF(C122=Console!$AT$6,IF(G122&gt;0,G122*12,MAX(L122,G122*12,K122*J122,H122)),MAX(L122,G122*12,K122*J122,H122)),IF(G122&gt;0,G122*12,MAX(L122,G122*12,K122*J122,H122)))),0)</f>
        <v>0</v>
      </c>
      <c r="N122">
        <f t="shared" si="17"/>
        <v>0</v>
      </c>
      <c r="O122">
        <v>0</v>
      </c>
      <c r="P122">
        <f t="shared" si="18"/>
        <v>0</v>
      </c>
    </row>
    <row r="123" spans="2:16">
      <c r="B123" s="126">
        <v>23</v>
      </c>
      <c r="C123" s="126">
        <f>Input!D129</f>
        <v>0</v>
      </c>
      <c r="D123" s="126">
        <f>Input!F129</f>
        <v>0</v>
      </c>
      <c r="E123" s="126">
        <f>Input!H129</f>
        <v>0</v>
      </c>
      <c r="F123" s="126">
        <f>Input!J129</f>
        <v>0</v>
      </c>
      <c r="G123" s="126">
        <f>Input!L129</f>
        <v>0</v>
      </c>
      <c r="H123" s="126">
        <f>IF(C123=$H$100,Console!$AV$9*12,0)</f>
        <v>0</v>
      </c>
      <c r="I123" s="126">
        <f>Input!N129</f>
        <v>0</v>
      </c>
      <c r="J123" s="126">
        <f>Input!L129</f>
        <v>0</v>
      </c>
      <c r="L123">
        <f>IFERROR(VLOOKUP(C123,Console!$AT$4:$AV$12,3,FALSE)*MAX(E123:F123)*VLOOKUP(C123,Console!$AT$4:$AV$12,2,FALSE),0)*12</f>
        <v>0</v>
      </c>
      <c r="M123">
        <f>IFERROR(IF(I123="Yes",0,IF(Console!$AQ$3=Console!$AQ$15,IF(C123=Console!$AT$6,IF(G123&gt;0,G123*12,MAX(L123,G123*12,K123*J123,H123)),MAX(L123,G123*12,K123*J123,H123)),IF(G123&gt;0,G123*12,MAX(L123,G123*12,K123*J123,H123)))),0)</f>
        <v>0</v>
      </c>
      <c r="N123">
        <f t="shared" si="17"/>
        <v>0</v>
      </c>
      <c r="O123">
        <v>0</v>
      </c>
      <c r="P123">
        <f t="shared" si="18"/>
        <v>0</v>
      </c>
    </row>
    <row r="124" spans="2:16">
      <c r="B124" s="126">
        <v>24</v>
      </c>
      <c r="C124" s="126">
        <f>Input!D130</f>
        <v>0</v>
      </c>
      <c r="D124" s="126">
        <f>Input!F130</f>
        <v>0</v>
      </c>
      <c r="E124" s="126">
        <f>Input!H130</f>
        <v>0</v>
      </c>
      <c r="F124" s="126">
        <f>Input!J130</f>
        <v>0</v>
      </c>
      <c r="G124" s="126">
        <f>Input!L130</f>
        <v>0</v>
      </c>
      <c r="H124" s="126">
        <f>IF(C124=$H$100,Console!$AV$9*12,0)</f>
        <v>0</v>
      </c>
      <c r="I124" s="126">
        <f>Input!N130</f>
        <v>0</v>
      </c>
      <c r="J124" s="126">
        <f>Input!L130</f>
        <v>0</v>
      </c>
      <c r="L124">
        <f>IFERROR(VLOOKUP(C124,Console!$AT$4:$AV$12,3,FALSE)*MAX(E124:F124)*VLOOKUP(C124,Console!$AT$4:$AV$12,2,FALSE),0)*12</f>
        <v>0</v>
      </c>
      <c r="M124">
        <f>IFERROR(IF(I124="Yes",0,IF(Console!$AQ$3=Console!$AQ$15,IF(C124=Console!$AT$6,IF(G124&gt;0,G124*12,MAX(L124,G124*12,K124*J124,H124)),MAX(L124,G124*12,K124*J124,H124)),IF(G124&gt;0,G124*12,MAX(L124,G124*12,K124*J124,H124)))),0)</f>
        <v>0</v>
      </c>
      <c r="N124">
        <f t="shared" si="17"/>
        <v>0</v>
      </c>
      <c r="O124">
        <v>0</v>
      </c>
      <c r="P124">
        <f t="shared" si="18"/>
        <v>0</v>
      </c>
    </row>
    <row r="125" spans="2:16">
      <c r="B125" s="126">
        <v>25</v>
      </c>
      <c r="C125" s="126">
        <f>Input!D131</f>
        <v>0</v>
      </c>
      <c r="D125" s="126">
        <f>Input!F131</f>
        <v>0</v>
      </c>
      <c r="E125" s="126">
        <f>Input!H131</f>
        <v>0</v>
      </c>
      <c r="F125" s="126">
        <f>Input!J131</f>
        <v>0</v>
      </c>
      <c r="G125" s="126">
        <f>Input!L131</f>
        <v>0</v>
      </c>
      <c r="H125" s="126">
        <f>IF(C125=$H$100,Console!$AV$9*12,0)</f>
        <v>0</v>
      </c>
      <c r="I125" s="126">
        <f>Input!N131</f>
        <v>0</v>
      </c>
      <c r="J125" s="126">
        <f>Input!L131</f>
        <v>0</v>
      </c>
      <c r="L125">
        <f>IFERROR(VLOOKUP(C125,Console!$AT$4:$AV$12,3,FALSE)*MAX(E125:F125)*VLOOKUP(C125,Console!$AT$4:$AV$12,2,FALSE),0)*12</f>
        <v>0</v>
      </c>
      <c r="M125">
        <f>IFERROR(IF(I125="Yes",0,IF(Console!$AQ$3=Console!$AQ$15,IF(C125=Console!$AT$6,IF(G125&gt;0,G125*12,MAX(L125,G125*12,K125*J125,H125)),MAX(L125,G125*12,K125*J125,H125)),IF(G125&gt;0,G125*12,MAX(L125,G125*12,K125*J125,H125)))),0)</f>
        <v>0</v>
      </c>
      <c r="N125">
        <f t="shared" si="17"/>
        <v>0</v>
      </c>
      <c r="O125">
        <v>0</v>
      </c>
      <c r="P125">
        <f t="shared" si="18"/>
        <v>0</v>
      </c>
    </row>
    <row r="126" spans="2:16">
      <c r="B126" s="126" t="s">
        <v>149</v>
      </c>
      <c r="N126" s="126">
        <f>SUM(P101:P125)</f>
        <v>0</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0000"/>
  </sheetPr>
  <dimension ref="A1:BU24"/>
  <sheetViews>
    <sheetView workbookViewId="0">
      <selection activeCell="K10" sqref="K10"/>
    </sheetView>
  </sheetViews>
  <sheetFormatPr baseColWidth="10" defaultColWidth="8.83203125" defaultRowHeight="15"/>
  <cols>
    <col min="1" max="1" width="22.33203125" customWidth="1"/>
    <col min="4" max="4" width="16.1640625" bestFit="1" customWidth="1"/>
    <col min="11" max="11" width="10.1640625" bestFit="1" customWidth="1"/>
    <col min="15" max="15" width="12.6640625" bestFit="1" customWidth="1"/>
    <col min="16" max="16" width="15.33203125" bestFit="1" customWidth="1"/>
    <col min="18" max="18" width="18.6640625" bestFit="1" customWidth="1"/>
    <col min="20" max="20" width="19.1640625" bestFit="1" customWidth="1"/>
    <col min="21" max="21" width="10.33203125" bestFit="1" customWidth="1"/>
    <col min="22" max="22" width="11.33203125" bestFit="1" customWidth="1"/>
    <col min="23" max="26" width="16.5" customWidth="1"/>
    <col min="27" max="27" width="17.5" bestFit="1" customWidth="1"/>
    <col min="28" max="28" width="38.5" bestFit="1" customWidth="1"/>
    <col min="29" max="32" width="38.5" customWidth="1"/>
    <col min="34" max="34" width="13.83203125" bestFit="1" customWidth="1"/>
    <col min="38" max="38" width="34.5" bestFit="1" customWidth="1"/>
    <col min="39" max="39" width="12.6640625" bestFit="1" customWidth="1"/>
    <col min="41" max="41" width="26.83203125" bestFit="1" customWidth="1"/>
    <col min="43" max="43" width="11.5" bestFit="1" customWidth="1"/>
    <col min="44" max="44" width="12.6640625" bestFit="1" customWidth="1"/>
    <col min="46" max="46" width="18.33203125" bestFit="1" customWidth="1"/>
    <col min="47" max="48" width="18.33203125" customWidth="1"/>
    <col min="49" max="49" width="12.33203125" bestFit="1" customWidth="1"/>
    <col min="50" max="50" width="49.83203125" customWidth="1"/>
    <col min="52" max="52" width="18.83203125" bestFit="1" customWidth="1"/>
    <col min="53" max="53" width="18.83203125" customWidth="1"/>
    <col min="54" max="54" width="16.1640625" bestFit="1" customWidth="1"/>
    <col min="57" max="62" width="12.5" bestFit="1" customWidth="1"/>
    <col min="66" max="66" width="9.6640625" bestFit="1" customWidth="1"/>
    <col min="69" max="69" width="23.33203125" bestFit="1" customWidth="1"/>
  </cols>
  <sheetData>
    <row r="1" spans="1:73">
      <c r="A1" s="5" t="s">
        <v>94</v>
      </c>
      <c r="T1" s="5" t="s">
        <v>95</v>
      </c>
      <c r="AL1" s="5" t="s">
        <v>96</v>
      </c>
      <c r="AT1" s="5" t="s">
        <v>97</v>
      </c>
      <c r="AU1" s="5"/>
      <c r="AV1" s="5"/>
      <c r="AZ1" t="s">
        <v>693</v>
      </c>
      <c r="BE1" t="s">
        <v>692</v>
      </c>
      <c r="BQ1" s="17" t="s">
        <v>337</v>
      </c>
    </row>
    <row r="2" spans="1:73">
      <c r="A2" t="s">
        <v>37</v>
      </c>
      <c r="B2" t="s">
        <v>38</v>
      </c>
      <c r="C2" t="s">
        <v>87</v>
      </c>
      <c r="D2" t="s">
        <v>39</v>
      </c>
      <c r="F2" t="s">
        <v>40</v>
      </c>
      <c r="H2" t="s">
        <v>35</v>
      </c>
      <c r="I2" t="s">
        <v>194</v>
      </c>
      <c r="J2" t="s">
        <v>256</v>
      </c>
      <c r="K2" t="s">
        <v>88</v>
      </c>
      <c r="L2" t="s">
        <v>189</v>
      </c>
      <c r="M2" t="s">
        <v>194</v>
      </c>
      <c r="O2" t="s">
        <v>91</v>
      </c>
      <c r="Q2" t="s">
        <v>313</v>
      </c>
      <c r="R2" t="s">
        <v>93</v>
      </c>
      <c r="T2" t="s">
        <v>41</v>
      </c>
      <c r="U2" t="s">
        <v>53</v>
      </c>
      <c r="V2" t="s">
        <v>59</v>
      </c>
      <c r="X2" t="s">
        <v>135</v>
      </c>
      <c r="Y2" t="s">
        <v>132</v>
      </c>
      <c r="AA2" s="11" t="s">
        <v>73</v>
      </c>
      <c r="AB2" s="11" t="s">
        <v>74</v>
      </c>
      <c r="AC2" s="11" t="s">
        <v>141</v>
      </c>
      <c r="AD2" s="11" t="s">
        <v>142</v>
      </c>
      <c r="AE2" s="11" t="s">
        <v>143</v>
      </c>
      <c r="AF2" s="11" t="s">
        <v>38</v>
      </c>
      <c r="AH2" t="s">
        <v>85</v>
      </c>
      <c r="AJ2" t="s">
        <v>86</v>
      </c>
      <c r="AL2" t="s">
        <v>58</v>
      </c>
      <c r="AM2" t="s">
        <v>61</v>
      </c>
      <c r="AO2" t="s">
        <v>315</v>
      </c>
      <c r="AQ2" t="s">
        <v>331</v>
      </c>
      <c r="AT2" t="s">
        <v>98</v>
      </c>
      <c r="AU2" t="s">
        <v>132</v>
      </c>
      <c r="AW2" t="s">
        <v>133</v>
      </c>
      <c r="AX2" t="s">
        <v>133</v>
      </c>
      <c r="AZ2" t="s">
        <v>131</v>
      </c>
      <c r="BE2" t="s">
        <v>168</v>
      </c>
      <c r="BM2" t="s">
        <v>199</v>
      </c>
      <c r="BN2" t="s">
        <v>204</v>
      </c>
      <c r="BQ2" t="s">
        <v>297</v>
      </c>
      <c r="BS2" t="s">
        <v>304</v>
      </c>
    </row>
    <row r="3" spans="1:73" ht="16">
      <c r="A3" t="s">
        <v>320</v>
      </c>
      <c r="B3" s="4">
        <v>3.7900000000000003E-2</v>
      </c>
      <c r="C3" s="4">
        <v>2.5000000000000001E-2</v>
      </c>
      <c r="D3" s="4">
        <f>C3+B3</f>
        <v>6.2900000000000011E-2</v>
      </c>
      <c r="F3" s="4">
        <v>5.2499999999999998E-2</v>
      </c>
      <c r="H3" t="s">
        <v>36</v>
      </c>
      <c r="I3" t="s">
        <v>189</v>
      </c>
      <c r="J3" t="s">
        <v>257</v>
      </c>
      <c r="K3" t="s">
        <v>89</v>
      </c>
      <c r="L3">
        <v>1</v>
      </c>
      <c r="M3">
        <v>1</v>
      </c>
      <c r="O3" t="s">
        <v>92</v>
      </c>
      <c r="P3" s="14">
        <v>1000</v>
      </c>
      <c r="Q3" t="s">
        <v>307</v>
      </c>
      <c r="R3">
        <v>1</v>
      </c>
      <c r="T3" t="s">
        <v>42</v>
      </c>
      <c r="U3" s="3">
        <v>1</v>
      </c>
      <c r="V3" t="s">
        <v>60</v>
      </c>
      <c r="X3" t="s">
        <v>136</v>
      </c>
      <c r="Y3">
        <v>1</v>
      </c>
      <c r="AA3" s="12" t="s">
        <v>75</v>
      </c>
      <c r="AB3" s="12" t="s">
        <v>76</v>
      </c>
      <c r="AC3" s="12">
        <v>0</v>
      </c>
      <c r="AD3" s="12">
        <v>18200</v>
      </c>
      <c r="AE3" s="12">
        <v>0</v>
      </c>
      <c r="AF3" s="12">
        <v>0</v>
      </c>
      <c r="AH3" s="4">
        <v>0.02</v>
      </c>
      <c r="AJ3" s="3">
        <v>0.3</v>
      </c>
      <c r="AK3" s="3"/>
      <c r="AL3" s="6" t="s">
        <v>17</v>
      </c>
      <c r="AM3" s="6" t="s">
        <v>36</v>
      </c>
      <c r="AO3" s="3">
        <v>0</v>
      </c>
      <c r="AP3" s="8"/>
      <c r="AQ3" s="136" t="s">
        <v>330</v>
      </c>
      <c r="AR3" s="10"/>
      <c r="AT3" t="s">
        <v>99</v>
      </c>
      <c r="AU3">
        <v>1</v>
      </c>
      <c r="AX3" s="16" t="s">
        <v>105</v>
      </c>
      <c r="AZ3" s="5" t="s">
        <v>110</v>
      </c>
      <c r="BA3" s="5"/>
      <c r="BB3" s="5" t="s">
        <v>111</v>
      </c>
      <c r="BD3" t="s">
        <v>167</v>
      </c>
      <c r="BE3">
        <v>1</v>
      </c>
      <c r="BF3">
        <v>2</v>
      </c>
      <c r="BG3">
        <v>3</v>
      </c>
      <c r="BH3">
        <v>4</v>
      </c>
      <c r="BI3">
        <v>5</v>
      </c>
      <c r="BJ3">
        <v>6</v>
      </c>
      <c r="BM3" t="s">
        <v>201</v>
      </c>
      <c r="BN3" s="26">
        <v>43647</v>
      </c>
      <c r="BQ3" s="125">
        <v>1</v>
      </c>
      <c r="BS3">
        <v>1</v>
      </c>
      <c r="BT3" t="s">
        <v>298</v>
      </c>
      <c r="BU3" t="s">
        <v>301</v>
      </c>
    </row>
    <row r="4" spans="1:73">
      <c r="A4" t="s">
        <v>321</v>
      </c>
      <c r="B4" s="4">
        <v>3.8899999999999997E-2</v>
      </c>
      <c r="C4" s="4">
        <v>2.5000000000000001E-2</v>
      </c>
      <c r="D4" s="4">
        <f t="shared" ref="D4:D10" si="0">C4+B4</f>
        <v>6.3899999999999998E-2</v>
      </c>
      <c r="K4" t="s">
        <v>90</v>
      </c>
      <c r="L4">
        <v>30</v>
      </c>
      <c r="M4">
        <v>5</v>
      </c>
      <c r="O4" t="s">
        <v>90</v>
      </c>
      <c r="P4" s="14">
        <v>99999999</v>
      </c>
      <c r="Q4" t="s">
        <v>308</v>
      </c>
      <c r="R4">
        <v>2</v>
      </c>
      <c r="T4" t="s">
        <v>155</v>
      </c>
      <c r="U4" s="3">
        <v>1</v>
      </c>
      <c r="V4" t="s">
        <v>234</v>
      </c>
      <c r="X4" t="s">
        <v>137</v>
      </c>
      <c r="Y4">
        <v>2</v>
      </c>
      <c r="AA4" s="12" t="s">
        <v>77</v>
      </c>
      <c r="AB4" s="12" t="s">
        <v>78</v>
      </c>
      <c r="AC4" s="485">
        <f>AD3+0.001</f>
        <v>18200.001</v>
      </c>
      <c r="AD4" s="12">
        <v>45000</v>
      </c>
      <c r="AE4" s="12">
        <v>0</v>
      </c>
      <c r="AF4" s="19">
        <v>0.19</v>
      </c>
      <c r="AL4" s="6" t="s">
        <v>54</v>
      </c>
      <c r="AM4" s="6" t="s">
        <v>36</v>
      </c>
      <c r="AP4" s="8"/>
      <c r="AQ4" s="10"/>
      <c r="AR4" s="10"/>
      <c r="AT4" t="s">
        <v>238</v>
      </c>
      <c r="AU4">
        <v>1</v>
      </c>
      <c r="AV4" s="75">
        <f>-PMT(Input!P12/12,30*12,100000,0,0)/100000</f>
        <v>5.5220370214189834E-3</v>
      </c>
      <c r="AW4" s="15" t="s">
        <v>103</v>
      </c>
      <c r="AX4" t="s">
        <v>691</v>
      </c>
      <c r="AZ4">
        <v>0</v>
      </c>
      <c r="BA4">
        <v>0</v>
      </c>
      <c r="BB4">
        <v>0</v>
      </c>
      <c r="BD4">
        <v>0</v>
      </c>
      <c r="BE4" s="10">
        <f>AR8</f>
        <v>0</v>
      </c>
      <c r="BF4" s="10">
        <f>AR3</f>
        <v>0</v>
      </c>
      <c r="BG4" s="10">
        <f>BF4+$AR$15</f>
        <v>0</v>
      </c>
      <c r="BH4" s="10">
        <f>BG4+$AR$15</f>
        <v>0</v>
      </c>
      <c r="BI4" s="10">
        <f>BH4+$AR$15</f>
        <v>0</v>
      </c>
      <c r="BJ4" s="10">
        <f>BI4+$AR$15</f>
        <v>0</v>
      </c>
      <c r="BM4" t="s">
        <v>202</v>
      </c>
      <c r="BN4" s="26">
        <v>44013</v>
      </c>
      <c r="BS4">
        <v>2</v>
      </c>
      <c r="BT4" t="s">
        <v>299</v>
      </c>
      <c r="BU4" t="s">
        <v>302</v>
      </c>
    </row>
    <row r="5" spans="1:73">
      <c r="A5" t="s">
        <v>316</v>
      </c>
      <c r="B5" s="4">
        <v>3.39E-2</v>
      </c>
      <c r="C5" s="4">
        <v>2.5000000000000001E-2</v>
      </c>
      <c r="D5" s="4">
        <f t="shared" si="0"/>
        <v>5.8900000000000001E-2</v>
      </c>
      <c r="F5" t="s">
        <v>246</v>
      </c>
      <c r="Q5" t="s">
        <v>309</v>
      </c>
      <c r="R5">
        <v>3</v>
      </c>
      <c r="T5" t="s">
        <v>43</v>
      </c>
      <c r="U5" s="3">
        <v>1</v>
      </c>
      <c r="V5" t="s">
        <v>60</v>
      </c>
      <c r="X5" t="s">
        <v>138</v>
      </c>
      <c r="Y5">
        <v>4</v>
      </c>
      <c r="AA5" s="12" t="s">
        <v>79</v>
      </c>
      <c r="AB5" s="12" t="s">
        <v>80</v>
      </c>
      <c r="AC5" s="485">
        <f t="shared" ref="AC5:AC7" si="1">AD4+0.001</f>
        <v>45000.000999999997</v>
      </c>
      <c r="AD5" s="12">
        <v>120000</v>
      </c>
      <c r="AE5" s="12">
        <v>5092</v>
      </c>
      <c r="AF5" s="18">
        <v>0.32500000000000001</v>
      </c>
      <c r="AJ5" t="s">
        <v>332</v>
      </c>
      <c r="AL5" s="6" t="s">
        <v>18</v>
      </c>
      <c r="AM5" s="6" t="s">
        <v>36</v>
      </c>
      <c r="AP5" s="8"/>
      <c r="AQ5" s="10"/>
      <c r="AR5" s="10"/>
      <c r="AT5" t="s">
        <v>237</v>
      </c>
      <c r="AU5">
        <v>1</v>
      </c>
      <c r="AV5" s="75">
        <f>-PMT(Input!P12/12,30*12,100000,0,0)/100000</f>
        <v>5.5220370214189834E-3</v>
      </c>
      <c r="AW5" s="15" t="s">
        <v>103</v>
      </c>
      <c r="AX5" t="s">
        <v>691</v>
      </c>
      <c r="AZ5" t="s">
        <v>112</v>
      </c>
      <c r="BA5">
        <v>45881</v>
      </c>
      <c r="BB5" s="4">
        <v>0.01</v>
      </c>
      <c r="BD5">
        <v>1</v>
      </c>
      <c r="BE5" s="10">
        <f>AR9</f>
        <v>0</v>
      </c>
      <c r="BF5" s="10">
        <f>AR4</f>
        <v>0</v>
      </c>
      <c r="BG5" s="10">
        <f t="shared" ref="BG5:BJ24" si="2">BF5+$AR$15</f>
        <v>0</v>
      </c>
      <c r="BH5" s="10">
        <f t="shared" si="2"/>
        <v>0</v>
      </c>
      <c r="BI5" s="10">
        <f t="shared" si="2"/>
        <v>0</v>
      </c>
      <c r="BJ5" s="10">
        <f t="shared" si="2"/>
        <v>0</v>
      </c>
      <c r="BM5" t="s">
        <v>203</v>
      </c>
      <c r="BN5" s="26">
        <v>44378</v>
      </c>
      <c r="BS5">
        <v>3</v>
      </c>
      <c r="BT5" t="s">
        <v>300</v>
      </c>
      <c r="BU5" t="s">
        <v>303</v>
      </c>
    </row>
    <row r="6" spans="1:73">
      <c r="A6" t="s">
        <v>317</v>
      </c>
      <c r="B6" s="4">
        <v>3.49E-2</v>
      </c>
      <c r="C6" s="4">
        <v>2.5000000000000001E-2</v>
      </c>
      <c r="D6" s="4">
        <f t="shared" si="0"/>
        <v>5.9900000000000002E-2</v>
      </c>
      <c r="F6" s="4">
        <v>0.12</v>
      </c>
      <c r="Q6" t="s">
        <v>310</v>
      </c>
      <c r="R6">
        <v>4</v>
      </c>
      <c r="T6" t="s">
        <v>44</v>
      </c>
      <c r="U6" s="3">
        <v>1</v>
      </c>
      <c r="V6" t="s">
        <v>60</v>
      </c>
      <c r="X6" t="s">
        <v>6</v>
      </c>
      <c r="Y6">
        <v>12</v>
      </c>
      <c r="AA6" s="12" t="s">
        <v>81</v>
      </c>
      <c r="AB6" s="12" t="s">
        <v>82</v>
      </c>
      <c r="AC6" s="485">
        <f t="shared" si="1"/>
        <v>120000.001</v>
      </c>
      <c r="AD6" s="12">
        <v>180000</v>
      </c>
      <c r="AE6" s="12">
        <v>29467</v>
      </c>
      <c r="AF6" s="19">
        <v>0.37</v>
      </c>
      <c r="AJ6" t="s">
        <v>334</v>
      </c>
      <c r="AL6" s="6" t="s">
        <v>19</v>
      </c>
      <c r="AM6" s="6" t="s">
        <v>36</v>
      </c>
      <c r="AP6" s="8"/>
      <c r="AQ6" s="10"/>
      <c r="AR6" s="10"/>
      <c r="AT6" t="s">
        <v>253</v>
      </c>
      <c r="AU6">
        <v>1</v>
      </c>
      <c r="AV6" s="21">
        <f>-PMT(F6/12,7*12,10000,0,0)/10000</f>
        <v>1.7652732797073818E-2</v>
      </c>
      <c r="AW6" s="15" t="s">
        <v>104</v>
      </c>
      <c r="AX6" t="s">
        <v>106</v>
      </c>
      <c r="AZ6" t="s">
        <v>113</v>
      </c>
      <c r="BA6">
        <v>52973</v>
      </c>
      <c r="BB6" s="4">
        <v>0.02</v>
      </c>
      <c r="BD6">
        <v>2</v>
      </c>
      <c r="BE6" s="10">
        <f>AR10</f>
        <v>0</v>
      </c>
      <c r="BF6" s="10">
        <f>AR5</f>
        <v>0</v>
      </c>
      <c r="BG6" s="10">
        <f t="shared" si="2"/>
        <v>0</v>
      </c>
      <c r="BH6" s="10">
        <f t="shared" si="2"/>
        <v>0</v>
      </c>
      <c r="BI6" s="10">
        <f t="shared" si="2"/>
        <v>0</v>
      </c>
      <c r="BJ6" s="10">
        <f t="shared" si="2"/>
        <v>0</v>
      </c>
    </row>
    <row r="7" spans="1:73">
      <c r="A7" t="s">
        <v>322</v>
      </c>
      <c r="B7" s="4">
        <v>3.6900000000000002E-2</v>
      </c>
      <c r="C7" s="4">
        <v>2.5000000000000001E-2</v>
      </c>
      <c r="D7" s="4">
        <f t="shared" si="0"/>
        <v>6.1900000000000004E-2</v>
      </c>
      <c r="K7" s="81" t="s">
        <v>783</v>
      </c>
      <c r="L7" s="81"/>
      <c r="M7" s="81"/>
      <c r="N7" s="81"/>
      <c r="O7" s="81"/>
      <c r="Q7" t="s">
        <v>311</v>
      </c>
      <c r="R7">
        <v>5</v>
      </c>
      <c r="T7" t="s">
        <v>45</v>
      </c>
      <c r="U7" s="3">
        <v>0.8</v>
      </c>
      <c r="V7" t="s">
        <v>60</v>
      </c>
      <c r="X7" t="s">
        <v>139</v>
      </c>
      <c r="Y7" s="24">
        <f>(365.25/14)</f>
        <v>26.089285714285715</v>
      </c>
      <c r="AA7" s="12" t="s">
        <v>83</v>
      </c>
      <c r="AB7" s="12" t="s">
        <v>84</v>
      </c>
      <c r="AC7" s="485">
        <f t="shared" si="1"/>
        <v>180000.00099999999</v>
      </c>
      <c r="AD7" s="12">
        <v>10000000</v>
      </c>
      <c r="AE7" s="12">
        <v>51667</v>
      </c>
      <c r="AF7" s="19">
        <v>0.45</v>
      </c>
      <c r="AJ7" t="s">
        <v>335</v>
      </c>
      <c r="AL7" s="6" t="s">
        <v>20</v>
      </c>
      <c r="AM7" s="6" t="s">
        <v>36</v>
      </c>
      <c r="AP7" s="8"/>
      <c r="AT7" t="s">
        <v>252</v>
      </c>
      <c r="AU7">
        <v>1</v>
      </c>
      <c r="AV7" s="21">
        <f>-PMT(Input!P12/12,30*12,100000,0,0)/100000</f>
        <v>5.5220370214189834E-3</v>
      </c>
      <c r="AW7" s="15" t="s">
        <v>104</v>
      </c>
      <c r="AX7" t="s">
        <v>691</v>
      </c>
      <c r="AZ7" t="s">
        <v>114</v>
      </c>
      <c r="BA7">
        <v>56151</v>
      </c>
      <c r="BB7" s="4">
        <v>2.5000000000000001E-2</v>
      </c>
      <c r="BD7">
        <v>3</v>
      </c>
      <c r="BE7" s="10">
        <f>AR11</f>
        <v>0</v>
      </c>
      <c r="BF7" s="10">
        <f>AR6</f>
        <v>0</v>
      </c>
      <c r="BG7" s="10">
        <f t="shared" si="2"/>
        <v>0</v>
      </c>
      <c r="BH7" s="10">
        <f t="shared" si="2"/>
        <v>0</v>
      </c>
      <c r="BI7" s="10">
        <f t="shared" si="2"/>
        <v>0</v>
      </c>
      <c r="BJ7" s="10">
        <f t="shared" si="2"/>
        <v>0</v>
      </c>
    </row>
    <row r="8" spans="1:73" ht="32">
      <c r="A8" t="s">
        <v>323</v>
      </c>
      <c r="B8" s="4">
        <v>3.7900000000000003E-2</v>
      </c>
      <c r="C8" s="4">
        <v>2.5000000000000001E-2</v>
      </c>
      <c r="D8" s="4">
        <f t="shared" si="0"/>
        <v>6.2900000000000011E-2</v>
      </c>
      <c r="K8" s="81" t="s">
        <v>784</v>
      </c>
      <c r="L8" s="81"/>
      <c r="M8" s="81"/>
      <c r="N8" s="81"/>
      <c r="O8" s="81"/>
      <c r="Q8" t="s">
        <v>312</v>
      </c>
      <c r="R8">
        <v>6</v>
      </c>
      <c r="T8" t="s">
        <v>46</v>
      </c>
      <c r="U8" s="3">
        <v>0.8</v>
      </c>
      <c r="V8" t="s">
        <v>60</v>
      </c>
      <c r="X8" t="s">
        <v>71</v>
      </c>
      <c r="Y8" s="24">
        <f>(365.25/7)</f>
        <v>52.178571428571431</v>
      </c>
      <c r="AJ8" t="s">
        <v>333</v>
      </c>
      <c r="AL8" s="7" t="s">
        <v>55</v>
      </c>
      <c r="AM8" s="6" t="s">
        <v>36</v>
      </c>
      <c r="AP8" s="8"/>
      <c r="AQ8" s="10"/>
      <c r="AR8" s="10"/>
      <c r="AT8" t="s">
        <v>251</v>
      </c>
      <c r="AU8">
        <v>1</v>
      </c>
      <c r="AV8" s="4">
        <v>3.7999999999999999E-2</v>
      </c>
      <c r="AW8" s="4">
        <v>3.7999999999999999E-2</v>
      </c>
      <c r="AX8" t="s">
        <v>107</v>
      </c>
      <c r="AZ8" t="s">
        <v>115</v>
      </c>
      <c r="BA8">
        <v>59521</v>
      </c>
      <c r="BB8" s="4">
        <v>0.03</v>
      </c>
      <c r="BD8">
        <v>4</v>
      </c>
      <c r="BE8" s="10">
        <f>BE7+$AR$17</f>
        <v>0</v>
      </c>
      <c r="BF8" s="10">
        <f>BF7+$AR$17</f>
        <v>0</v>
      </c>
      <c r="BG8" s="10">
        <f t="shared" si="2"/>
        <v>0</v>
      </c>
      <c r="BH8" s="10">
        <f t="shared" si="2"/>
        <v>0</v>
      </c>
      <c r="BI8" s="10">
        <f t="shared" si="2"/>
        <v>0</v>
      </c>
      <c r="BJ8" s="10">
        <f t="shared" si="2"/>
        <v>0</v>
      </c>
      <c r="BQ8" t="s">
        <v>62</v>
      </c>
      <c r="BS8" t="s">
        <v>338</v>
      </c>
    </row>
    <row r="9" spans="1:73">
      <c r="A9" t="s">
        <v>318</v>
      </c>
      <c r="B9" s="4">
        <v>3.1400000000000004E-2</v>
      </c>
      <c r="C9" s="4">
        <v>2.5000000000000001E-2</v>
      </c>
      <c r="D9" s="4">
        <f t="shared" si="0"/>
        <v>5.6400000000000006E-2</v>
      </c>
      <c r="K9" s="81" t="s">
        <v>333</v>
      </c>
      <c r="L9" s="81"/>
      <c r="M9" s="81"/>
      <c r="N9" s="81"/>
      <c r="O9" s="81"/>
      <c r="Q9" t="s">
        <v>306</v>
      </c>
      <c r="R9">
        <v>7</v>
      </c>
      <c r="T9" t="s">
        <v>47</v>
      </c>
      <c r="U9" s="3">
        <v>1</v>
      </c>
      <c r="V9" t="s">
        <v>60</v>
      </c>
      <c r="X9" t="s">
        <v>140</v>
      </c>
      <c r="Y9" s="24">
        <v>365.25</v>
      </c>
      <c r="AL9" s="6" t="s">
        <v>21</v>
      </c>
      <c r="AM9" s="6" t="s">
        <v>36</v>
      </c>
      <c r="AP9" s="8"/>
      <c r="AQ9" s="10"/>
      <c r="AR9" s="10"/>
      <c r="AT9" t="s">
        <v>100</v>
      </c>
      <c r="AU9">
        <v>1</v>
      </c>
      <c r="AV9">
        <v>650</v>
      </c>
      <c r="AW9" s="15" t="s">
        <v>104</v>
      </c>
      <c r="AX9" t="s">
        <v>108</v>
      </c>
      <c r="AZ9" t="s">
        <v>116</v>
      </c>
      <c r="BA9">
        <v>63092</v>
      </c>
      <c r="BB9" s="4">
        <v>3.5000000000000003E-2</v>
      </c>
      <c r="BD9">
        <v>5</v>
      </c>
      <c r="BE9" s="10">
        <f t="shared" ref="BE9:BE23" si="3">BE8+$AR$17</f>
        <v>0</v>
      </c>
      <c r="BF9" s="10">
        <f t="shared" ref="BF9:BF23" si="4">BF8+$AR$17</f>
        <v>0</v>
      </c>
      <c r="BG9" s="10">
        <f t="shared" si="2"/>
        <v>0</v>
      </c>
      <c r="BH9" s="10">
        <f t="shared" si="2"/>
        <v>0</v>
      </c>
      <c r="BI9" s="10">
        <f t="shared" si="2"/>
        <v>0</v>
      </c>
      <c r="BJ9" s="10">
        <f t="shared" si="2"/>
        <v>0</v>
      </c>
      <c r="BQ9">
        <v>2</v>
      </c>
      <c r="BS9">
        <v>1</v>
      </c>
      <c r="BT9" t="s">
        <v>339</v>
      </c>
    </row>
    <row r="10" spans="1:73">
      <c r="A10" t="s">
        <v>319</v>
      </c>
      <c r="B10" s="4">
        <v>3.2400000000000005E-2</v>
      </c>
      <c r="C10" s="4">
        <v>2.5000000000000001E-2</v>
      </c>
      <c r="D10" s="4">
        <f t="shared" si="0"/>
        <v>5.7400000000000007E-2</v>
      </c>
      <c r="K10" s="81"/>
      <c r="L10" s="81"/>
      <c r="M10" s="81"/>
      <c r="N10" s="81"/>
      <c r="O10" s="81"/>
      <c r="R10">
        <v>8</v>
      </c>
      <c r="T10" t="s">
        <v>48</v>
      </c>
      <c r="U10" s="3">
        <v>0.8</v>
      </c>
      <c r="V10" t="s">
        <v>60</v>
      </c>
      <c r="AL10" s="6" t="s">
        <v>22</v>
      </c>
      <c r="AM10" s="6" t="s">
        <v>36</v>
      </c>
      <c r="AP10" s="8"/>
      <c r="AQ10" s="10"/>
      <c r="AR10" s="10"/>
      <c r="AT10" t="s">
        <v>101</v>
      </c>
      <c r="AU10">
        <v>1</v>
      </c>
      <c r="AV10">
        <v>0</v>
      </c>
      <c r="AW10" s="15" t="s">
        <v>104</v>
      </c>
      <c r="AX10" t="s">
        <v>109</v>
      </c>
      <c r="AZ10" t="s">
        <v>117</v>
      </c>
      <c r="BA10">
        <v>66877</v>
      </c>
      <c r="BB10" s="4">
        <v>0.04</v>
      </c>
      <c r="BD10">
        <v>6</v>
      </c>
      <c r="BE10" s="10">
        <f t="shared" si="3"/>
        <v>0</v>
      </c>
      <c r="BF10" s="10">
        <f t="shared" si="4"/>
        <v>0</v>
      </c>
      <c r="BG10" s="10">
        <f t="shared" si="2"/>
        <v>0</v>
      </c>
      <c r="BH10" s="10">
        <f t="shared" si="2"/>
        <v>0</v>
      </c>
      <c r="BI10" s="10">
        <f t="shared" si="2"/>
        <v>0</v>
      </c>
      <c r="BJ10" s="10">
        <f t="shared" si="2"/>
        <v>0</v>
      </c>
      <c r="BS10">
        <v>2</v>
      </c>
      <c r="BT10" t="s">
        <v>340</v>
      </c>
    </row>
    <row r="11" spans="1:73" ht="30.75" customHeight="1">
      <c r="B11" s="4"/>
      <c r="C11" s="4"/>
      <c r="D11" s="4"/>
      <c r="K11" s="81"/>
      <c r="L11" s="81"/>
      <c r="M11" s="81"/>
      <c r="N11" s="81"/>
      <c r="O11" s="81"/>
      <c r="R11">
        <v>9</v>
      </c>
      <c r="T11" t="s">
        <v>49</v>
      </c>
      <c r="U11" s="3">
        <v>1</v>
      </c>
      <c r="V11" t="s">
        <v>60</v>
      </c>
      <c r="AL11" s="7" t="s">
        <v>56</v>
      </c>
      <c r="AM11" s="6" t="s">
        <v>36</v>
      </c>
      <c r="AP11" s="8"/>
      <c r="AQ11" s="10"/>
      <c r="AR11" s="10"/>
      <c r="AT11" t="s">
        <v>102</v>
      </c>
      <c r="AU11">
        <v>1</v>
      </c>
      <c r="AV11" s="4">
        <v>0</v>
      </c>
      <c r="AW11" s="15" t="s">
        <v>104</v>
      </c>
      <c r="AX11" t="s">
        <v>106</v>
      </c>
      <c r="AZ11" t="s">
        <v>118</v>
      </c>
      <c r="BA11">
        <v>70890</v>
      </c>
      <c r="BB11" s="4">
        <v>4.4999999999999998E-2</v>
      </c>
      <c r="BD11">
        <v>7</v>
      </c>
      <c r="BE11" s="10">
        <f t="shared" si="3"/>
        <v>0</v>
      </c>
      <c r="BF11" s="10">
        <f t="shared" si="4"/>
        <v>0</v>
      </c>
      <c r="BG11" s="10">
        <f t="shared" si="2"/>
        <v>0</v>
      </c>
      <c r="BH11" s="10">
        <f t="shared" si="2"/>
        <v>0</v>
      </c>
      <c r="BI11" s="10">
        <f t="shared" si="2"/>
        <v>0</v>
      </c>
      <c r="BJ11" s="10">
        <f t="shared" si="2"/>
        <v>0</v>
      </c>
    </row>
    <row r="12" spans="1:73">
      <c r="B12" s="4"/>
      <c r="C12" s="4"/>
      <c r="D12" s="4"/>
      <c r="K12" s="81"/>
      <c r="L12" s="81"/>
      <c r="M12" s="81"/>
      <c r="N12" s="81"/>
      <c r="O12" s="81"/>
      <c r="R12">
        <v>10</v>
      </c>
      <c r="T12" t="s">
        <v>50</v>
      </c>
      <c r="U12" s="3">
        <v>1</v>
      </c>
      <c r="V12" t="s">
        <v>60</v>
      </c>
      <c r="AL12" s="6" t="s">
        <v>23</v>
      </c>
      <c r="AM12" s="6" t="s">
        <v>35</v>
      </c>
      <c r="AT12" t="s">
        <v>22</v>
      </c>
      <c r="AU12">
        <v>1</v>
      </c>
      <c r="AV12" s="4">
        <v>0</v>
      </c>
      <c r="AW12" s="15" t="s">
        <v>104</v>
      </c>
      <c r="AX12" t="s">
        <v>106</v>
      </c>
      <c r="AZ12" t="s">
        <v>119</v>
      </c>
      <c r="BA12">
        <v>75144</v>
      </c>
      <c r="BB12" s="4">
        <v>0.05</v>
      </c>
      <c r="BD12">
        <v>8</v>
      </c>
      <c r="BE12" s="10">
        <f t="shared" si="3"/>
        <v>0</v>
      </c>
      <c r="BF12" s="10">
        <f t="shared" si="4"/>
        <v>0</v>
      </c>
      <c r="BG12" s="10">
        <f t="shared" si="2"/>
        <v>0</v>
      </c>
      <c r="BH12" s="10">
        <f t="shared" si="2"/>
        <v>0</v>
      </c>
      <c r="BI12" s="10">
        <f t="shared" si="2"/>
        <v>0</v>
      </c>
      <c r="BJ12" s="10">
        <f t="shared" si="2"/>
        <v>0</v>
      </c>
    </row>
    <row r="13" spans="1:73" ht="32">
      <c r="B13" s="4"/>
      <c r="C13" s="4"/>
      <c r="D13" s="4"/>
      <c r="K13" s="81"/>
      <c r="L13" s="81"/>
      <c r="M13" s="81"/>
      <c r="N13" s="81"/>
      <c r="O13" s="81"/>
      <c r="T13" t="s">
        <v>51</v>
      </c>
      <c r="U13" s="3">
        <v>0.8</v>
      </c>
      <c r="V13" t="s">
        <v>60</v>
      </c>
      <c r="AL13" s="7" t="s">
        <v>57</v>
      </c>
      <c r="AM13" s="6" t="s">
        <v>36</v>
      </c>
      <c r="AZ13" t="s">
        <v>120</v>
      </c>
      <c r="BA13">
        <v>79652</v>
      </c>
      <c r="BB13" s="4">
        <v>5.5E-2</v>
      </c>
      <c r="BD13">
        <v>9</v>
      </c>
      <c r="BE13" s="10">
        <f t="shared" si="3"/>
        <v>0</v>
      </c>
      <c r="BF13" s="10">
        <f t="shared" si="4"/>
        <v>0</v>
      </c>
      <c r="BG13" s="10">
        <f t="shared" si="2"/>
        <v>0</v>
      </c>
      <c r="BH13" s="10">
        <f t="shared" si="2"/>
        <v>0</v>
      </c>
      <c r="BI13" s="10">
        <f t="shared" si="2"/>
        <v>0</v>
      </c>
      <c r="BJ13" s="10">
        <f t="shared" si="2"/>
        <v>0</v>
      </c>
    </row>
    <row r="14" spans="1:73">
      <c r="B14" s="4"/>
      <c r="C14" s="4"/>
      <c r="D14" s="4"/>
      <c r="K14" s="81"/>
      <c r="L14" s="81"/>
      <c r="M14" s="81"/>
      <c r="N14" s="81"/>
      <c r="O14" s="81"/>
      <c r="T14" t="s">
        <v>52</v>
      </c>
      <c r="U14" s="3">
        <v>0.7</v>
      </c>
      <c r="V14" t="s">
        <v>60</v>
      </c>
      <c r="AL14" s="6" t="s">
        <v>24</v>
      </c>
      <c r="AM14" s="6" t="s">
        <v>36</v>
      </c>
      <c r="AP14" s="9"/>
      <c r="AQ14" s="134" t="s">
        <v>328</v>
      </c>
      <c r="AR14" s="9"/>
      <c r="AZ14" t="s">
        <v>121</v>
      </c>
      <c r="BA14">
        <v>84432</v>
      </c>
      <c r="BB14" s="4">
        <v>0.06</v>
      </c>
      <c r="BD14">
        <v>10</v>
      </c>
      <c r="BE14" s="10">
        <f t="shared" si="3"/>
        <v>0</v>
      </c>
      <c r="BF14" s="10">
        <f t="shared" si="4"/>
        <v>0</v>
      </c>
      <c r="BG14" s="10">
        <f t="shared" si="2"/>
        <v>0</v>
      </c>
      <c r="BH14" s="10">
        <f t="shared" si="2"/>
        <v>0</v>
      </c>
      <c r="BI14" s="10">
        <f t="shared" si="2"/>
        <v>0</v>
      </c>
      <c r="BJ14" s="10">
        <f t="shared" si="2"/>
        <v>0</v>
      </c>
    </row>
    <row r="15" spans="1:73">
      <c r="B15" s="4"/>
      <c r="C15" s="4"/>
      <c r="D15" s="4"/>
      <c r="K15" s="81"/>
      <c r="L15" s="81"/>
      <c r="M15" s="81"/>
      <c r="N15" s="81"/>
      <c r="O15" s="81"/>
      <c r="T15" t="s">
        <v>247</v>
      </c>
      <c r="U15" s="3">
        <v>1</v>
      </c>
      <c r="V15" t="s">
        <v>234</v>
      </c>
      <c r="AP15" s="9"/>
      <c r="AQ15" s="134" t="s">
        <v>330</v>
      </c>
      <c r="AR15" s="9"/>
      <c r="AZ15" t="s">
        <v>122</v>
      </c>
      <c r="BA15">
        <v>89498</v>
      </c>
      <c r="BB15" s="4">
        <v>6.5000000000000002E-2</v>
      </c>
      <c r="BD15">
        <v>11</v>
      </c>
      <c r="BE15" s="10">
        <f t="shared" si="3"/>
        <v>0</v>
      </c>
      <c r="BF15" s="10">
        <f t="shared" si="4"/>
        <v>0</v>
      </c>
      <c r="BG15" s="10">
        <f t="shared" si="2"/>
        <v>0</v>
      </c>
      <c r="BH15" s="10">
        <f t="shared" si="2"/>
        <v>0</v>
      </c>
      <c r="BI15" s="10">
        <f t="shared" si="2"/>
        <v>0</v>
      </c>
      <c r="BJ15" s="10">
        <f t="shared" si="2"/>
        <v>0</v>
      </c>
    </row>
    <row r="16" spans="1:73">
      <c r="B16" s="4"/>
      <c r="C16" s="4"/>
      <c r="D16" s="4"/>
      <c r="K16" s="81"/>
      <c r="L16" s="81"/>
      <c r="M16" s="81"/>
      <c r="N16" s="81"/>
      <c r="O16" s="81"/>
      <c r="T16" t="s">
        <v>248</v>
      </c>
      <c r="U16" s="3">
        <v>1</v>
      </c>
      <c r="V16" t="s">
        <v>234</v>
      </c>
      <c r="AP16" s="13"/>
      <c r="AQ16" s="135" t="s">
        <v>329</v>
      </c>
      <c r="AR16" s="13"/>
      <c r="AZ16" t="s">
        <v>123</v>
      </c>
      <c r="BA16">
        <v>94868</v>
      </c>
      <c r="BB16" s="4">
        <v>7.0000000000000007E-2</v>
      </c>
      <c r="BD16">
        <v>12</v>
      </c>
      <c r="BE16" s="10">
        <f t="shared" si="3"/>
        <v>0</v>
      </c>
      <c r="BF16" s="10">
        <f t="shared" si="4"/>
        <v>0</v>
      </c>
      <c r="BG16" s="10">
        <f t="shared" si="2"/>
        <v>0</v>
      </c>
      <c r="BH16" s="10">
        <f t="shared" si="2"/>
        <v>0</v>
      </c>
      <c r="BI16" s="10">
        <f t="shared" si="2"/>
        <v>0</v>
      </c>
      <c r="BJ16" s="10">
        <f t="shared" si="2"/>
        <v>0</v>
      </c>
    </row>
    <row r="17" spans="20:62">
      <c r="T17" s="126" t="s">
        <v>324</v>
      </c>
      <c r="U17" s="3">
        <v>0.9</v>
      </c>
      <c r="V17" t="s">
        <v>60</v>
      </c>
      <c r="AP17" s="13"/>
      <c r="AQ17" s="13"/>
      <c r="AR17" s="13"/>
      <c r="AV17" s="75"/>
      <c r="AZ17" t="s">
        <v>124</v>
      </c>
      <c r="BA17">
        <v>100560</v>
      </c>
      <c r="BB17" s="4">
        <v>7.4999999999999997E-2</v>
      </c>
      <c r="BD17">
        <v>13</v>
      </c>
      <c r="BE17" s="10">
        <f t="shared" si="3"/>
        <v>0</v>
      </c>
      <c r="BF17" s="10">
        <f t="shared" si="4"/>
        <v>0</v>
      </c>
      <c r="BG17" s="10">
        <f t="shared" si="2"/>
        <v>0</v>
      </c>
      <c r="BH17" s="10">
        <f t="shared" si="2"/>
        <v>0</v>
      </c>
      <c r="BI17" s="10">
        <f t="shared" si="2"/>
        <v>0</v>
      </c>
      <c r="BJ17" s="10">
        <f t="shared" si="2"/>
        <v>0</v>
      </c>
    </row>
    <row r="18" spans="20:62">
      <c r="T18" s="126" t="s">
        <v>325</v>
      </c>
      <c r="U18" s="4">
        <f>80%*90%</f>
        <v>0.72000000000000008</v>
      </c>
      <c r="V18" t="s">
        <v>60</v>
      </c>
      <c r="AZ18" t="s">
        <v>125</v>
      </c>
      <c r="BA18">
        <v>106593</v>
      </c>
      <c r="BB18" s="4">
        <v>0.08</v>
      </c>
      <c r="BD18">
        <v>14</v>
      </c>
      <c r="BE18" s="10">
        <f t="shared" si="3"/>
        <v>0</v>
      </c>
      <c r="BF18" s="10">
        <f t="shared" si="4"/>
        <v>0</v>
      </c>
      <c r="BG18" s="10">
        <f t="shared" si="2"/>
        <v>0</v>
      </c>
      <c r="BH18" s="10">
        <f t="shared" si="2"/>
        <v>0</v>
      </c>
      <c r="BI18" s="10">
        <f t="shared" si="2"/>
        <v>0</v>
      </c>
      <c r="BJ18" s="10">
        <f t="shared" si="2"/>
        <v>0</v>
      </c>
    </row>
    <row r="19" spans="20:62">
      <c r="T19" s="126"/>
      <c r="AR19" s="10"/>
      <c r="AZ19" t="s">
        <v>126</v>
      </c>
      <c r="BA19">
        <v>112989</v>
      </c>
      <c r="BB19" s="4">
        <v>8.5000000000000006E-2</v>
      </c>
      <c r="BD19">
        <v>15</v>
      </c>
      <c r="BE19" s="10">
        <f t="shared" si="3"/>
        <v>0</v>
      </c>
      <c r="BF19" s="10">
        <f t="shared" si="4"/>
        <v>0</v>
      </c>
      <c r="BG19" s="10">
        <f t="shared" si="2"/>
        <v>0</v>
      </c>
      <c r="BH19" s="10">
        <f t="shared" si="2"/>
        <v>0</v>
      </c>
      <c r="BI19" s="10">
        <f t="shared" si="2"/>
        <v>0</v>
      </c>
      <c r="BJ19" s="10">
        <f t="shared" si="2"/>
        <v>0</v>
      </c>
    </row>
    <row r="20" spans="20:62">
      <c r="T20" s="126"/>
      <c r="AZ20" t="s">
        <v>127</v>
      </c>
      <c r="BA20">
        <v>119769</v>
      </c>
      <c r="BB20" s="4">
        <v>0.09</v>
      </c>
      <c r="BD20">
        <v>16</v>
      </c>
      <c r="BE20" s="10">
        <f t="shared" si="3"/>
        <v>0</v>
      </c>
      <c r="BF20" s="10">
        <f t="shared" si="4"/>
        <v>0</v>
      </c>
      <c r="BG20" s="10">
        <f t="shared" si="2"/>
        <v>0</v>
      </c>
      <c r="BH20" s="10">
        <f t="shared" si="2"/>
        <v>0</v>
      </c>
      <c r="BI20" s="10">
        <f t="shared" si="2"/>
        <v>0</v>
      </c>
      <c r="BJ20" s="10">
        <f t="shared" si="2"/>
        <v>0</v>
      </c>
    </row>
    <row r="21" spans="20:62">
      <c r="T21" s="126" t="s">
        <v>326</v>
      </c>
      <c r="AZ21" t="s">
        <v>128</v>
      </c>
      <c r="BA21">
        <v>126955</v>
      </c>
      <c r="BB21" s="4">
        <v>9.5000000000000001E-2</v>
      </c>
      <c r="BD21">
        <v>17</v>
      </c>
      <c r="BE21" s="10">
        <f t="shared" si="3"/>
        <v>0</v>
      </c>
      <c r="BF21" s="10">
        <f t="shared" si="4"/>
        <v>0</v>
      </c>
      <c r="BG21" s="10">
        <f t="shared" si="2"/>
        <v>0</v>
      </c>
      <c r="BH21" s="10">
        <f t="shared" si="2"/>
        <v>0</v>
      </c>
      <c r="BI21" s="10">
        <f t="shared" si="2"/>
        <v>0</v>
      </c>
      <c r="BJ21" s="10">
        <f t="shared" si="2"/>
        <v>0</v>
      </c>
    </row>
    <row r="22" spans="20:62">
      <c r="AZ22" t="s">
        <v>129</v>
      </c>
      <c r="BA22">
        <v>134572</v>
      </c>
      <c r="BB22" s="4">
        <v>0.1</v>
      </c>
      <c r="BD22">
        <v>18</v>
      </c>
      <c r="BE22" s="10">
        <f t="shared" si="3"/>
        <v>0</v>
      </c>
      <c r="BF22" s="10">
        <f t="shared" si="4"/>
        <v>0</v>
      </c>
      <c r="BG22" s="10">
        <f t="shared" si="2"/>
        <v>0</v>
      </c>
      <c r="BH22" s="10">
        <f t="shared" si="2"/>
        <v>0</v>
      </c>
      <c r="BI22" s="10">
        <f t="shared" si="2"/>
        <v>0</v>
      </c>
      <c r="BJ22" s="10">
        <f t="shared" si="2"/>
        <v>0</v>
      </c>
    </row>
    <row r="23" spans="20:62">
      <c r="AZ23" t="s">
        <v>130</v>
      </c>
      <c r="BA23">
        <v>100000000</v>
      </c>
      <c r="BB23" s="4">
        <v>0.1</v>
      </c>
      <c r="BD23">
        <v>19</v>
      </c>
      <c r="BE23" s="10">
        <f t="shared" si="3"/>
        <v>0</v>
      </c>
      <c r="BF23" s="10">
        <f t="shared" si="4"/>
        <v>0</v>
      </c>
      <c r="BG23" s="10">
        <f t="shared" si="2"/>
        <v>0</v>
      </c>
      <c r="BH23" s="10">
        <f t="shared" si="2"/>
        <v>0</v>
      </c>
      <c r="BI23" s="10">
        <f t="shared" si="2"/>
        <v>0</v>
      </c>
      <c r="BJ23" s="10">
        <f t="shared" si="2"/>
        <v>0</v>
      </c>
    </row>
    <row r="24" spans="20:62">
      <c r="BD24">
        <v>20</v>
      </c>
      <c r="BE24" s="10">
        <f>BE23+$AR$17</f>
        <v>0</v>
      </c>
      <c r="BF24" s="10">
        <f>BF23+$AR$17</f>
        <v>0</v>
      </c>
      <c r="BG24" s="10">
        <f t="shared" si="2"/>
        <v>0</v>
      </c>
      <c r="BH24" s="10">
        <f t="shared" si="2"/>
        <v>0</v>
      </c>
      <c r="BI24" s="10">
        <f t="shared" si="2"/>
        <v>0</v>
      </c>
      <c r="BJ24" s="10">
        <f t="shared" si="2"/>
        <v>0</v>
      </c>
    </row>
  </sheetData>
  <dataValidations count="3">
    <dataValidation type="list" allowBlank="1" showInputMessage="1" showErrorMessage="1" sqref="BQ3" xr:uid="{00000000-0002-0000-0800-000000000000}">
      <formula1>$BS$3:$BS$5</formula1>
    </dataValidation>
    <dataValidation type="list" allowBlank="1" showInputMessage="1" showErrorMessage="1" sqref="AQ3" xr:uid="{00000000-0002-0000-0800-000001000000}">
      <formula1>$AQ$15:$AQ$16</formula1>
    </dataValidation>
    <dataValidation type="list" allowBlank="1" showInputMessage="1" showErrorMessage="1" sqref="BQ9" xr:uid="{00000000-0002-0000-0800-000002000000}">
      <formula1>$BS$9:$BS$10</formula1>
    </dataValidation>
  </dataValidations>
  <pageMargins left="0.7" right="0.7" top="0.75" bottom="0.75" header="0.3" footer="0.3"/>
  <pageSetup paperSize="9" orientation="portrait"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08258DA5E8BF4186332F34E5F8614D" ma:contentTypeVersion="11" ma:contentTypeDescription="Create a new document." ma:contentTypeScope="" ma:versionID="5d22073054fc64d6277cbb0f4f14cbbd">
  <xsd:schema xmlns:xsd="http://www.w3.org/2001/XMLSchema" xmlns:xs="http://www.w3.org/2001/XMLSchema" xmlns:p="http://schemas.microsoft.com/office/2006/metadata/properties" xmlns:ns2="0a90b2ac-a76a-41eb-a7ab-8c7705247526" xmlns:ns3="a21ca44d-6048-4def-b2f0-c0ccce9bebf3" targetNamespace="http://schemas.microsoft.com/office/2006/metadata/properties" ma:root="true" ma:fieldsID="8e89c8ddd91f0afda64d15ec48e536af" ns2:_="" ns3:_="">
    <xsd:import namespace="0a90b2ac-a76a-41eb-a7ab-8c7705247526"/>
    <xsd:import namespace="a21ca44d-6048-4def-b2f0-c0ccce9beb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90b2ac-a76a-41eb-a7ab-8c7705247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1ca44d-6048-4def-b2f0-c0ccce9bebf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B99BCA-3764-4875-8F41-A4ED18D74162}">
  <ds:schemaRefs>
    <ds:schemaRef ds:uri="http://schemas.microsoft.com/sharepoint/v3/contenttype/forms"/>
  </ds:schemaRefs>
</ds:datastoreItem>
</file>

<file path=customXml/itemProps2.xml><?xml version="1.0" encoding="utf-8"?>
<ds:datastoreItem xmlns:ds="http://schemas.openxmlformats.org/officeDocument/2006/customXml" ds:itemID="{185B845C-43EE-4A26-8976-3FA2129B9E6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C8E3B07-6617-43D3-9401-FA420DD1D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90b2ac-a76a-41eb-a7ab-8c7705247526"/>
    <ds:schemaRef ds:uri="a21ca44d-6048-4def-b2f0-c0ccce9beb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Income Calculators</vt:lpstr>
      <vt:lpstr>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Miller</dc:creator>
  <cp:lastModifiedBy>Microsoft Office User</cp:lastModifiedBy>
  <cp:lastPrinted>2020-08-17T17:40:54Z</cp:lastPrinted>
  <dcterms:created xsi:type="dcterms:W3CDTF">2020-03-15T22:59:23Z</dcterms:created>
  <dcterms:modified xsi:type="dcterms:W3CDTF">2021-09-06T06:32:48Z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0x0101000408258DA5E8BF4186332F34E5F8614D</vt:lpwstr>
  </property>
</Properties>
</file>