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fsv1-tvo-vmp.tvo.prd\bmy$\Citrix_Home_Drives\bmymillerj\Documents\"/>
    </mc:Choice>
  </mc:AlternateContent>
  <workbookProtection workbookAlgorithmName="SHA-512" workbookHashValue="4XQuoopX7cnoFKB3DDMPckgEBbj+4nqLNAKL5EKAyk+uCFR6j2uwmb13Op8EzmkpAZBtUOaesUdbfct719ZmVA==" workbookSaltValue="jEcnRySAN8t8vOrA2V9FYQ==" workbookSpinCount="100000" lockStructure="1"/>
  <bookViews>
    <workbookView xWindow="-15" yWindow="0" windowWidth="7125" windowHeight="5235"/>
  </bookViews>
  <sheets>
    <sheet name="Home" sheetId="3" r:id="rId1"/>
    <sheet name="Lease Doc Calculator" sheetId="4" r:id="rId2"/>
    <sheet name="SMSF Calculator" sheetId="1" r:id="rId3"/>
    <sheet name="Commercial Calculator" sheetId="5" r:id="rId4"/>
    <sheet name="Help" sheetId="2" r:id="rId5"/>
  </sheets>
  <functionGroups builtInGroupCount="18"/>
  <definedNames>
    <definedName name="company_tax_rate">'Commercial Calculator'!$U$7</definedName>
    <definedName name="DSCR_calculated">'Commercial Calculator'!$I$36</definedName>
    <definedName name="DSCR_minimum">'Commercial Calculator'!$I$37</definedName>
    <definedName name="expense_percent_credit_card">'Commercial Calculator'!$U$5</definedName>
    <definedName name="expense_percent_property">'Commercial Calculator'!$U$4</definedName>
    <definedName name="Interest_Only_Term">'SMSF Calculator'!$M$8:$M$16</definedName>
    <definedName name="lookup_1">'Commercial Calculator'!$R$21:$V$26</definedName>
    <definedName name="lookup_2">'Commercial Calculator'!$S$21:$V$26</definedName>
    <definedName name="LVR_consolidated">'Commercial Calculator'!$G$35</definedName>
    <definedName name="LVR_maximum">'Commercial Calculator'!$G$36</definedName>
    <definedName name="_xlnm.Print_Area" localSheetId="2">'SMSF Calculator'!$A$1:$I$45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1" l="1"/>
  <c r="E23" i="4" l="1"/>
  <c r="M30" i="5" l="1"/>
  <c r="F13" i="1"/>
  <c r="G20" i="1" s="1"/>
  <c r="G26" i="1" l="1"/>
  <c r="F5" i="5"/>
  <c r="F6" i="5"/>
  <c r="F7" i="5"/>
  <c r="F4" i="5"/>
  <c r="U5" i="5" l="1"/>
  <c r="G6" i="5" l="1"/>
  <c r="G7" i="5"/>
  <c r="P19" i="5" l="1"/>
  <c r="E14" i="4"/>
  <c r="I26" i="5"/>
  <c r="I27" i="5"/>
  <c r="I25" i="5"/>
  <c r="I28" i="5"/>
  <c r="J27" i="5" l="1"/>
  <c r="J28" i="5"/>
  <c r="J26" i="5"/>
  <c r="J25" i="5"/>
  <c r="E15" i="4"/>
  <c r="E20" i="4"/>
  <c r="E13" i="4" l="1"/>
  <c r="G37" i="5"/>
  <c r="G35" i="5"/>
  <c r="H29" i="5"/>
  <c r="G29" i="5"/>
  <c r="F29" i="5"/>
  <c r="I41" i="5" s="1"/>
  <c r="S26" i="5"/>
  <c r="S25" i="5"/>
  <c r="S24" i="5"/>
  <c r="S23" i="5"/>
  <c r="U22" i="5"/>
  <c r="U23" i="5" s="1"/>
  <c r="U24" i="5" s="1"/>
  <c r="U25" i="5" s="1"/>
  <c r="U26" i="5" s="1"/>
  <c r="T26" i="5" s="1"/>
  <c r="S22" i="5"/>
  <c r="T21" i="5"/>
  <c r="M18" i="5"/>
  <c r="H18" i="5"/>
  <c r="G18" i="5"/>
  <c r="F18" i="5"/>
  <c r="E18" i="5"/>
  <c r="C18" i="5"/>
  <c r="B8" i="5"/>
  <c r="Y7" i="5"/>
  <c r="Y6" i="5"/>
  <c r="Y5" i="5"/>
  <c r="G5" i="5"/>
  <c r="Y4" i="5"/>
  <c r="H4" i="5"/>
  <c r="H7" i="5"/>
  <c r="H5" i="5"/>
  <c r="H6" i="5"/>
  <c r="I17" i="5"/>
  <c r="I15" i="5"/>
  <c r="I16" i="5"/>
  <c r="I14" i="5"/>
  <c r="J14" i="5" l="1"/>
  <c r="J16" i="5"/>
  <c r="J15" i="5"/>
  <c r="J17" i="5"/>
  <c r="T25" i="5"/>
  <c r="T23" i="5"/>
  <c r="G4" i="5"/>
  <c r="I18" i="5"/>
  <c r="J29" i="5"/>
  <c r="I29" i="5"/>
  <c r="H8" i="5"/>
  <c r="H9" i="5" s="1"/>
  <c r="I42" i="5" s="1"/>
  <c r="I43" i="5" s="1"/>
  <c r="I45" i="5" s="1"/>
  <c r="T24" i="5"/>
  <c r="T22" i="5"/>
  <c r="G36" i="1"/>
  <c r="J18" i="5" l="1"/>
  <c r="I33" i="5" s="1"/>
  <c r="G8" i="5"/>
  <c r="G9" i="5" s="1"/>
  <c r="I34" i="5" s="1"/>
  <c r="G27" i="1"/>
  <c r="I35" i="5" l="1"/>
  <c r="I36" i="5" s="1"/>
  <c r="I38" i="5" s="1"/>
  <c r="C32" i="1"/>
  <c r="G19" i="1" l="1"/>
  <c r="E20" i="1" s="1"/>
  <c r="K20" i="1" l="1"/>
  <c r="G25" i="1" l="1"/>
  <c r="G21" i="1" l="1"/>
  <c r="G37" i="1" s="1"/>
  <c r="G28" i="1" l="1"/>
  <c r="G24" i="1"/>
  <c r="G29" i="1" l="1"/>
  <c r="G31" i="1" l="1"/>
  <c r="G35" i="1" s="1"/>
  <c r="G39" i="1" s="1"/>
</calcChain>
</file>

<file path=xl/comments1.xml><?xml version="1.0" encoding="utf-8"?>
<comments xmlns="http://schemas.openxmlformats.org/spreadsheetml/2006/main">
  <authors>
    <author>m016757</author>
  </authors>
  <commentList>
    <comment ref="E13" authorId="0" shapeId="0">
      <text>
        <r>
          <rPr>
            <sz val="11"/>
            <color indexed="81"/>
            <rFont val="Tahoma"/>
            <family val="2"/>
          </rPr>
          <t xml:space="preserve">A share of the expected Rental Income
from the new property
</t>
        </r>
        <r>
          <rPr>
            <u/>
            <sz val="11"/>
            <color indexed="81"/>
            <rFont val="Tahoma"/>
            <family val="2"/>
          </rPr>
          <t xml:space="preserve">plus
</t>
        </r>
        <r>
          <rPr>
            <sz val="11"/>
            <color indexed="81"/>
            <rFont val="Tahoma"/>
            <family val="2"/>
          </rPr>
          <t>Rental Income from existing properties.</t>
        </r>
      </text>
    </comment>
    <comment ref="G13" authorId="0" shapeId="0">
      <text>
        <r>
          <rPr>
            <sz val="11"/>
            <color indexed="81"/>
            <rFont val="Tahoma"/>
            <family val="2"/>
          </rPr>
          <t xml:space="preserve">A share of the Deductible Interest
from the new loans (cell H9)
</t>
        </r>
        <r>
          <rPr>
            <u/>
            <sz val="11"/>
            <color indexed="81"/>
            <rFont val="Tahoma"/>
            <family val="2"/>
          </rPr>
          <t>plus</t>
        </r>
        <r>
          <rPr>
            <sz val="11"/>
            <color indexed="81"/>
            <rFont val="Tahoma"/>
            <family val="2"/>
          </rPr>
          <t xml:space="preserve">
Deductible Interest from existing loans.</t>
        </r>
      </text>
    </comment>
    <comment ref="H13" authorId="0" shapeId="0">
      <text>
        <r>
          <rPr>
            <sz val="11"/>
            <color indexed="81"/>
            <rFont val="Tahoma"/>
            <family val="2"/>
          </rPr>
          <t>This field is only relevant
for Sole Traders.</t>
        </r>
      </text>
    </comment>
    <comment ref="O17" authorId="0" shapeId="0">
      <text>
        <r>
          <rPr>
            <sz val="11"/>
            <color indexed="81"/>
            <rFont val="Tahoma"/>
            <family val="2"/>
          </rPr>
          <t>This field contains
the sum of all
Credit Card Limits.</t>
        </r>
      </text>
    </comment>
    <comment ref="G24" authorId="0" shapeId="0">
      <text>
        <r>
          <rPr>
            <sz val="11"/>
            <color indexed="81"/>
            <rFont val="Tahoma"/>
            <family val="2"/>
          </rPr>
          <t>A share of the expected Rental Income
from the new property.</t>
        </r>
      </text>
    </comment>
    <comment ref="H24" authorId="0" shapeId="0">
      <text>
        <r>
          <rPr>
            <sz val="11"/>
            <color indexed="81"/>
            <rFont val="Tahoma"/>
            <family val="2"/>
          </rPr>
          <t>A share of the Deductible Interest
from the new loans (cell H9).</t>
        </r>
      </text>
    </comment>
    <comment ref="F34" authorId="0" shapeId="0">
      <text>
        <r>
          <rPr>
            <sz val="11"/>
            <color indexed="81"/>
            <rFont val="Tahoma"/>
            <family val="2"/>
          </rPr>
          <t>These are other loans secured
against this same property.</t>
        </r>
      </text>
    </comment>
  </commentList>
</comments>
</file>

<file path=xl/sharedStrings.xml><?xml version="1.0" encoding="utf-8"?>
<sst xmlns="http://schemas.openxmlformats.org/spreadsheetml/2006/main" count="190" uniqueCount="160">
  <si>
    <t>Mandatory Superannuation Contributions</t>
  </si>
  <si>
    <t>SMSF Trust Name</t>
  </si>
  <si>
    <t>New Loan Amount</t>
  </si>
  <si>
    <t>Interest Rate</t>
  </si>
  <si>
    <t>Loan Term</t>
  </si>
  <si>
    <t>LOAN DETAILS</t>
  </si>
  <si>
    <t>EXPENSES</t>
  </si>
  <si>
    <t>SMSF Running Expenses</t>
  </si>
  <si>
    <t>INCOME</t>
  </si>
  <si>
    <t>Less Tax</t>
  </si>
  <si>
    <t>Total Other Loans</t>
  </si>
  <si>
    <t>TOTAL NET INCOME</t>
  </si>
  <si>
    <t>PROPOSED ANNUAL REPAYMENTS</t>
  </si>
  <si>
    <t>TOTAL OTHER COMMITMENTS</t>
  </si>
  <si>
    <t>TOTAL ANNUAL INCOME</t>
  </si>
  <si>
    <t>TOTAL ANNUAL EXPENSE</t>
  </si>
  <si>
    <t>Weekly</t>
  </si>
  <si>
    <t>Fortnightly</t>
  </si>
  <si>
    <t>Monthly</t>
  </si>
  <si>
    <t>Annually</t>
  </si>
  <si>
    <t>Other Income (please specify)</t>
  </si>
  <si>
    <t>Rental Income (100%)</t>
  </si>
  <si>
    <t>Investment Income</t>
  </si>
  <si>
    <t xml:space="preserve">How to Use Self Managed Superannuation Fund Servicing Calculator </t>
  </si>
  <si>
    <t>Include any other loan repayments that relate to the Self Managed Super Fund only. Do not enter commitments that belong to individual beneficiaries. Defaults to $0.</t>
  </si>
  <si>
    <t>Include any expense that relates to running the Self Managed Super Fund. Defaults to $0.</t>
  </si>
  <si>
    <t>Frequency</t>
  </si>
  <si>
    <t>Include mandatory superannuation contributions only. For self-employed applicants superannuation contributions must be evident over a two year period.</t>
  </si>
  <si>
    <t>Enter 100% of rental income from investment properties held by the Self Managed Super Fund only.</t>
  </si>
  <si>
    <t>CALCULATION RESULTS</t>
  </si>
  <si>
    <t>Total Net Income</t>
  </si>
  <si>
    <t>Proposed Annual Repayments</t>
  </si>
  <si>
    <t>Automatically calculates annual repayments for the new loan at the default rate.</t>
  </si>
  <si>
    <t>Automatically calculates the ratio of net disposable income to total commitments</t>
  </si>
  <si>
    <t>USING THE CALCULATOR</t>
  </si>
  <si>
    <t>For Identification purposes only.</t>
  </si>
  <si>
    <t>Enter 100% of investment income calculated based on 3% deeming rate of the current value.</t>
  </si>
  <si>
    <t>Total gross income entered less tax payable (calculated at 15%)</t>
  </si>
  <si>
    <t>Additional Superannuation Contributions</t>
  </si>
  <si>
    <t>Total Gross Income</t>
  </si>
  <si>
    <t>Total Amount of Investment Loans</t>
  </si>
  <si>
    <t>Total amount of all investment loans in the name of the borrowing SMSF.</t>
  </si>
  <si>
    <t>Interest Expense Add-Back</t>
  </si>
  <si>
    <t>Include any other income in this section and specify what it is. This income will not be used in serviceability calculations but can support current servicing position.</t>
  </si>
  <si>
    <t>Term of the loan in years. Defaults to 30 years. Amend the loan term as required.</t>
  </si>
  <si>
    <t>Assessment Rate</t>
  </si>
  <si>
    <t>Interest Only Term</t>
  </si>
  <si>
    <t>If the current repayment type is Interest Only, you must select from the drodown box, the intital Interest Only term. Servicing will be calculated on the original term less the initial interest only term. Ie: 30 year term - 5 years Interest Only, repayments will be P &amp; I over 25 years.</t>
  </si>
  <si>
    <t>Investment Income (100%)</t>
  </si>
  <si>
    <r>
      <t>Borrowing Rate</t>
    </r>
    <r>
      <rPr>
        <b/>
        <sz val="11"/>
        <color rgb="FFFF0000"/>
        <rFont val="Calibri"/>
        <family val="2"/>
        <scheme val="minor"/>
      </rPr>
      <t>*</t>
    </r>
  </si>
  <si>
    <r>
      <t xml:space="preserve">New Loan Amount </t>
    </r>
    <r>
      <rPr>
        <b/>
        <sz val="11"/>
        <color rgb="FFFF0000"/>
        <rFont val="Calibri"/>
        <family val="2"/>
        <scheme val="minor"/>
      </rPr>
      <t>*</t>
    </r>
  </si>
  <si>
    <r>
      <t xml:space="preserve">Loan Term (years) </t>
    </r>
    <r>
      <rPr>
        <b/>
        <sz val="11"/>
        <color rgb="FFFF0000"/>
        <rFont val="Calibri"/>
        <family val="2"/>
        <scheme val="minor"/>
      </rPr>
      <t>*</t>
    </r>
  </si>
  <si>
    <r>
      <t xml:space="preserve">SMSF Running Expenses </t>
    </r>
    <r>
      <rPr>
        <b/>
        <sz val="11"/>
        <color rgb="FFFF0000"/>
        <rFont val="Calibri"/>
        <family val="2"/>
        <scheme val="minor"/>
      </rPr>
      <t>*</t>
    </r>
  </si>
  <si>
    <r>
      <t xml:space="preserve">SMSF Trust Name </t>
    </r>
    <r>
      <rPr>
        <b/>
        <sz val="11"/>
        <color rgb="FFFF0000"/>
        <rFont val="Calibri"/>
        <family val="2"/>
        <scheme val="minor"/>
      </rPr>
      <t>*</t>
    </r>
  </si>
  <si>
    <t>Include superannuation contributions in excess of mandatory amount. Must be supported by a 2 year history of regular contributions  by way of additional superannuation contributions over and above the compulsory 9.5% SGL, personal investments, savings or additional loan repayments.</t>
  </si>
  <si>
    <t>Lease Doc Serviceability Calculator</t>
  </si>
  <si>
    <t>Date:</t>
  </si>
  <si>
    <t>Applicant Name(s):</t>
  </si>
  <si>
    <t>Applicant Name</t>
  </si>
  <si>
    <t>New Loan Commitment</t>
  </si>
  <si>
    <t>Loan Amount</t>
  </si>
  <si>
    <t xml:space="preserve">Interest Rate </t>
  </si>
  <si>
    <t>Repayment Type</t>
  </si>
  <si>
    <t>Monthly Repayment</t>
  </si>
  <si>
    <t>Annual Repayment</t>
  </si>
  <si>
    <t>Monthly Rental Income</t>
  </si>
  <si>
    <t>Annual Rental Income</t>
  </si>
  <si>
    <t>Notes</t>
  </si>
  <si>
    <t>Assessment Repayment (PI)</t>
  </si>
  <si>
    <t>Assessment Interest (IO)</t>
  </si>
  <si>
    <t>Term (years)</t>
  </si>
  <si>
    <t>Borrower Rate</t>
  </si>
  <si>
    <t>Property Expenses</t>
  </si>
  <si>
    <t>PI</t>
  </si>
  <si>
    <t>IO</t>
  </si>
  <si>
    <t>Credit Card Expense</t>
  </si>
  <si>
    <t>Company Tax Rate</t>
  </si>
  <si>
    <t>per month</t>
  </si>
  <si>
    <t>per year</t>
  </si>
  <si>
    <t>Personal Income Tax Rates</t>
  </si>
  <si>
    <t>Name</t>
  </si>
  <si>
    <t>Gross
Annual Income</t>
  </si>
  <si>
    <t>Rental
Income</t>
  </si>
  <si>
    <t>Other 
Income</t>
  </si>
  <si>
    <t>Deductible
Interest</t>
  </si>
  <si>
    <t>Addbacks</t>
  </si>
  <si>
    <t>Tax</t>
  </si>
  <si>
    <t>Net Cash</t>
  </si>
  <si>
    <t>Balance of Existing Liabilities</t>
  </si>
  <si>
    <t>Weighted
Avg Rate</t>
  </si>
  <si>
    <t>Other Annual Commitments 
(annual payments)</t>
  </si>
  <si>
    <t>&lt;=</t>
  </si>
  <si>
    <t>Tax per $</t>
  </si>
  <si>
    <t>Other Mortgages</t>
  </si>
  <si>
    <t>Other Secured Loans</t>
  </si>
  <si>
    <t>Credit Card LIMITS</t>
  </si>
  <si>
    <t>Total Interest Exp.</t>
  </si>
  <si>
    <t>Living Exp. (eg. Rent)</t>
  </si>
  <si>
    <t>Pre-Tax</t>
  </si>
  <si>
    <t>Post-Tax</t>
  </si>
  <si>
    <t>Companies</t>
  </si>
  <si>
    <t>Oper. Profit
Before Tax</t>
  </si>
  <si>
    <t>Depreciation</t>
  </si>
  <si>
    <t>Discretionary Super</t>
  </si>
  <si>
    <t>Interest Refinanced</t>
  </si>
  <si>
    <t>Rent Refinanced</t>
  </si>
  <si>
    <t>LVR Test</t>
  </si>
  <si>
    <t>DSCR Test</t>
  </si>
  <si>
    <t>Property Value</t>
  </si>
  <si>
    <t>Net Cash after Tax &amp; Addbacks</t>
  </si>
  <si>
    <t>Other Loans</t>
  </si>
  <si>
    <t>Total Outgoings</t>
  </si>
  <si>
    <t>Consolidated LVR</t>
  </si>
  <si>
    <t>Surplus Cash Available</t>
  </si>
  <si>
    <t>Max LVR</t>
  </si>
  <si>
    <t>Calculated DCSR</t>
  </si>
  <si>
    <t>LVR Status</t>
  </si>
  <si>
    <t>Min DSCR</t>
  </si>
  <si>
    <t>DSCR Status</t>
  </si>
  <si>
    <t>ICR Test</t>
  </si>
  <si>
    <t>EBIT</t>
  </si>
  <si>
    <t xml:space="preserve">Interest </t>
  </si>
  <si>
    <t>ICR</t>
  </si>
  <si>
    <t>Required ICR</t>
  </si>
  <si>
    <t>ICR Status</t>
  </si>
  <si>
    <t>eg. 1/1/2020</t>
  </si>
  <si>
    <t>eg. John Smith &amp; Jane Smith</t>
  </si>
  <si>
    <t>eg. $900,000</t>
  </si>
  <si>
    <t>Use Actual Rate, eg. 5.85%</t>
  </si>
  <si>
    <t>eg. IO or P&amp;I</t>
  </si>
  <si>
    <t>Monthly Interest</t>
  </si>
  <si>
    <t>eg. $5000</t>
  </si>
  <si>
    <t>P&amp;I</t>
  </si>
  <si>
    <t>Owner Occupied</t>
  </si>
  <si>
    <t>Self Managed Superannuation Fund Servicing Calculator</t>
  </si>
  <si>
    <t>eg. Smith Family Trust</t>
  </si>
  <si>
    <t>eg. 5.75%</t>
  </si>
  <si>
    <t>eg. $500,000</t>
  </si>
  <si>
    <t>Outgoings Paid By</t>
  </si>
  <si>
    <t>Vehicle Loans/ Leases</t>
  </si>
  <si>
    <t>Amount</t>
  </si>
  <si>
    <t>In Years eg. 25</t>
  </si>
  <si>
    <t>ICR - Must Exceed 1.5</t>
  </si>
  <si>
    <t>eg. 3 - 25 years</t>
  </si>
  <si>
    <t>eg. 1 - 5 years</t>
  </si>
  <si>
    <t>Existing SMSF Loan Repayments</t>
  </si>
  <si>
    <t>DSCR</t>
  </si>
  <si>
    <t>Commercial Property Loan Servicability Worksheet</t>
  </si>
  <si>
    <t>Personal Borrowers and Sole Traders</t>
  </si>
  <si>
    <t>Non-recurring Exp.</t>
  </si>
  <si>
    <t>eg. Tenants or Owner Occupied</t>
  </si>
  <si>
    <t>Tenants</t>
  </si>
  <si>
    <t>Used for automatic calculation of proposed monthly loan repayments. If you have previously arranged to capitalise the premium and stamp duty, please ensure the loan amount entered includes those amounts to be capitalised.</t>
  </si>
  <si>
    <t>The greater of the actual rate (plus 2.00%) or the default rate. Used for automatic calculation of monthly loan repayments.</t>
  </si>
  <si>
    <t xml:space="preserve">Simply input your data into the shaded fields. </t>
  </si>
  <si>
    <t>Existing SMSF Loan Limits</t>
  </si>
  <si>
    <t>Version 2020.6</t>
  </si>
  <si>
    <t>Frequency of expenses (monthly, fortnightly, monthly or annually). Please ensure this field is populated in order for Servicing to be calculated correctly.</t>
  </si>
  <si>
    <t>Frequency of income (monthly, fortnightly, monthly or annual). Please ensure this field is populated in order for Servicing to be calculated correctly.</t>
  </si>
  <si>
    <t>Interest Expense Add-Back in this section as calculated using borrower rate. NOTE: this is not an editable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</si>
</sst>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quot;$&quot;#,##0.00_);[Red]\(&quot;$&quot;#,##0.00\)"/>
    <numFmt numFmtId="165" formatCode="#,##0.00_ ;[Red]\-#,##0.00\ "/>
    <numFmt numFmtId="166" formatCode="[$$-C09]#,##0"/>
    <numFmt numFmtId="167" formatCode="[$-C09]dd\-mmm\-yy;@"/>
    <numFmt numFmtId="168" formatCode="\ &quot;$&quot;* #,##0;[Red]\ &quot;$&quot;* \-#,##0;\ &quot;$&quot;* &quot;-&quot;??"/>
    <numFmt numFmtId="169" formatCode="0.0###%"/>
    <numFmt numFmtId="170" formatCode="\ &quot;$&quot;* #,##0.00;[Red]\ &quot;$&quot;* \-#,##0.00;\ &quot;$&quot;* &quot;-&quot;??"/>
    <numFmt numFmtId="171" formatCode="\ &quot;$&quot;* #,##0.000;[Red]\ &quot;$&quot;* \-#,##0.000;\ &quot;$&quot;* &quot;-&quot;??"/>
    <numFmt numFmtId="172" formatCode="0.0%"/>
    <numFmt numFmtId="173" formatCode="0.00\x"/>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1"/>
      <color theme="0"/>
      <name val="Calibri"/>
      <family val="2"/>
      <scheme val="minor"/>
    </font>
    <font>
      <b/>
      <i/>
      <sz val="16"/>
      <color theme="1"/>
      <name val="Arial"/>
      <family val="2"/>
    </font>
    <font>
      <sz val="10"/>
      <name val="Helv"/>
    </font>
    <font>
      <sz val="9"/>
      <name val="Arial"/>
      <family val="2"/>
    </font>
    <font>
      <b/>
      <sz val="10"/>
      <name val="Arial"/>
      <family val="2"/>
    </font>
    <font>
      <sz val="11"/>
      <color theme="1"/>
      <name val="Arial"/>
      <family val="2"/>
    </font>
    <font>
      <sz val="9"/>
      <color theme="1"/>
      <name val="Arial"/>
      <family val="2"/>
    </font>
    <font>
      <b/>
      <sz val="10"/>
      <color theme="1"/>
      <name val="Arial"/>
      <family val="2"/>
    </font>
    <font>
      <b/>
      <sz val="11"/>
      <color rgb="FFFF0000"/>
      <name val="Calibri"/>
      <family val="2"/>
      <scheme val="minor"/>
    </font>
    <font>
      <sz val="11"/>
      <color rgb="FFFF0000"/>
      <name val="Calibri"/>
      <family val="2"/>
      <scheme val="minor"/>
    </font>
    <font>
      <b/>
      <sz val="11"/>
      <color theme="0"/>
      <name val="Calibri"/>
      <family val="2"/>
      <scheme val="minor"/>
    </font>
    <font>
      <sz val="28"/>
      <color theme="1"/>
      <name val="Calibri"/>
      <family val="2"/>
      <scheme val="minor"/>
    </font>
    <font>
      <i/>
      <sz val="10"/>
      <color rgb="FF00B4E7"/>
      <name val="Calibri"/>
      <family val="2"/>
      <scheme val="minor"/>
    </font>
    <font>
      <i/>
      <sz val="11"/>
      <color rgb="FFBDD646"/>
      <name val="Calibri"/>
      <family val="2"/>
      <scheme val="minor"/>
    </font>
    <font>
      <b/>
      <sz val="11"/>
      <name val="Arial"/>
      <family val="2"/>
    </font>
    <font>
      <sz val="10"/>
      <name val="Arial"/>
      <family val="2"/>
    </font>
    <font>
      <sz val="10"/>
      <color indexed="12"/>
      <name val="Arial"/>
      <family val="2"/>
    </font>
    <font>
      <b/>
      <sz val="16"/>
      <color indexed="12"/>
      <name val="Arial"/>
      <family val="2"/>
    </font>
    <font>
      <sz val="10"/>
      <color theme="1"/>
      <name val="Arial"/>
      <family val="2"/>
    </font>
    <font>
      <sz val="11"/>
      <color indexed="81"/>
      <name val="Tahoma"/>
      <family val="2"/>
    </font>
    <font>
      <u/>
      <sz val="11"/>
      <color indexed="81"/>
      <name val="Tahoma"/>
      <family val="2"/>
    </font>
    <font>
      <sz val="24"/>
      <color theme="0"/>
      <name val="Calibri"/>
      <family val="2"/>
      <scheme val="minor"/>
    </font>
    <font>
      <sz val="11"/>
      <color theme="0" tint="-0.249977111117893"/>
      <name val="Calibri"/>
      <family val="2"/>
      <scheme val="minor"/>
    </font>
    <font>
      <b/>
      <sz val="16"/>
      <color rgb="FFC00000"/>
      <name val="Arial Rounded MT Bold"/>
      <family val="2"/>
    </font>
    <font>
      <sz val="9"/>
      <color theme="1"/>
      <name val="Arial Rounded MT Bold"/>
      <family val="2"/>
    </font>
    <font>
      <sz val="9"/>
      <color theme="0"/>
      <name val="Arial Rounded MT Bold"/>
      <family val="2"/>
    </font>
    <font>
      <sz val="9"/>
      <color rgb="FFFF0000"/>
      <name val="Arial Rounded MT Bold"/>
      <family val="2"/>
    </font>
    <font>
      <b/>
      <i/>
      <sz val="9"/>
      <name val="Arial Rounded MT Bold"/>
      <family val="2"/>
    </font>
    <font>
      <b/>
      <i/>
      <sz val="9"/>
      <color theme="0"/>
      <name val="Arial Rounded MT Bold"/>
      <family val="2"/>
    </font>
    <font>
      <i/>
      <sz val="9"/>
      <name val="Arial Rounded MT Bold"/>
      <family val="2"/>
    </font>
    <font>
      <b/>
      <sz val="11"/>
      <color rgb="FFC00000"/>
      <name val="Calibri"/>
      <family val="2"/>
      <scheme val="minor"/>
    </font>
    <font>
      <sz val="11"/>
      <color theme="0" tint="-0.34998626667073579"/>
      <name val="Calibri"/>
      <family val="2"/>
      <scheme val="minor"/>
    </font>
    <font>
      <b/>
      <sz val="11"/>
      <color rgb="FFC00000"/>
      <name val="Arial"/>
      <family val="2"/>
    </font>
    <font>
      <sz val="11"/>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9" fontId="1"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0" fillId="2" borderId="0" xfId="0" applyFill="1"/>
    <xf numFmtId="10" fontId="0" fillId="2" borderId="0" xfId="1" applyNumberFormat="1"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xf numFmtId="0" fontId="0" fillId="2" borderId="0" xfId="0" applyFill="1" applyProtection="1"/>
    <xf numFmtId="0" fontId="5" fillId="2" borderId="0" xfId="0" applyFont="1" applyFill="1" applyProtection="1"/>
    <xf numFmtId="0" fontId="7" fillId="2" borderId="0" xfId="2" applyFont="1" applyFill="1" applyAlignment="1" applyProtection="1">
      <alignment wrapText="1"/>
    </xf>
    <xf numFmtId="0" fontId="10" fillId="2" borderId="0" xfId="0" applyFont="1" applyFill="1" applyAlignment="1" applyProtection="1">
      <alignment vertical="top"/>
    </xf>
    <xf numFmtId="0" fontId="11" fillId="2" borderId="0" xfId="0" applyFont="1" applyFill="1" applyAlignment="1" applyProtection="1">
      <alignment vertical="top"/>
    </xf>
    <xf numFmtId="0" fontId="9" fillId="2" borderId="0" xfId="0" applyFont="1" applyFill="1" applyAlignment="1" applyProtection="1">
      <alignment vertical="top"/>
    </xf>
    <xf numFmtId="0" fontId="9" fillId="2" borderId="0" xfId="0" applyFont="1" applyFill="1" applyProtection="1"/>
    <xf numFmtId="0" fontId="10" fillId="2" borderId="0" xfId="0" applyFont="1" applyFill="1" applyProtection="1"/>
    <xf numFmtId="0" fontId="0" fillId="2" borderId="0" xfId="0" applyFill="1" applyAlignment="1" applyProtection="1">
      <alignment vertical="top"/>
    </xf>
    <xf numFmtId="10" fontId="12" fillId="2" borderId="0" xfId="1" applyNumberFormat="1" applyFont="1" applyFill="1" applyBorder="1" applyAlignment="1">
      <alignment horizontal="right" vertical="center"/>
    </xf>
    <xf numFmtId="167" fontId="0" fillId="3" borderId="0" xfId="6" applyNumberFormat="1" applyFont="1" applyFill="1" applyBorder="1" applyProtection="1">
      <protection locked="0"/>
    </xf>
    <xf numFmtId="44" fontId="0" fillId="3" borderId="2" xfId="6" applyFont="1" applyFill="1" applyBorder="1" applyProtection="1">
      <protection locked="0"/>
    </xf>
    <xf numFmtId="10" fontId="0" fillId="3" borderId="2" xfId="1" applyNumberFormat="1" applyFont="1" applyFill="1" applyBorder="1" applyProtection="1">
      <protection locked="0"/>
    </xf>
    <xf numFmtId="0" fontId="15" fillId="2" borderId="0" xfId="0" applyFont="1" applyFill="1" applyAlignment="1" applyProtection="1">
      <alignment vertical="center"/>
    </xf>
    <xf numFmtId="0" fontId="2" fillId="2" borderId="0" xfId="0" applyFont="1" applyFill="1" applyProtection="1"/>
    <xf numFmtId="0" fontId="26" fillId="2" borderId="0" xfId="0" applyFont="1" applyFill="1" applyProtection="1"/>
    <xf numFmtId="0" fontId="16" fillId="2" borderId="0" xfId="0" applyFont="1" applyFill="1" applyProtection="1"/>
    <xf numFmtId="0" fontId="17" fillId="2" borderId="0" xfId="0" applyFont="1" applyFill="1" applyProtection="1"/>
    <xf numFmtId="44" fontId="0" fillId="2" borderId="2" xfId="6" applyFont="1" applyFill="1" applyBorder="1" applyProtection="1"/>
    <xf numFmtId="44" fontId="0" fillId="2" borderId="0" xfId="6" applyFont="1" applyFill="1" applyBorder="1" applyProtection="1"/>
    <xf numFmtId="44" fontId="0" fillId="2" borderId="2" xfId="0" applyNumberFormat="1" applyFill="1" applyBorder="1" applyAlignment="1" applyProtection="1">
      <alignment horizontal="center" vertical="center"/>
    </xf>
    <xf numFmtId="0" fontId="25" fillId="2" borderId="0" xfId="0" applyFont="1" applyFill="1" applyAlignment="1" applyProtection="1">
      <alignment vertical="center"/>
    </xf>
    <xf numFmtId="0" fontId="0" fillId="2" borderId="0" xfId="0" applyFill="1" applyBorder="1" applyAlignment="1" applyProtection="1">
      <alignment vertical="top" wrapText="1"/>
    </xf>
    <xf numFmtId="0" fontId="0" fillId="2" borderId="0" xfId="0" applyFill="1" applyBorder="1" applyProtection="1"/>
    <xf numFmtId="0" fontId="4" fillId="2" borderId="0" xfId="0" applyFont="1" applyFill="1" applyProtection="1"/>
    <xf numFmtId="2" fontId="14" fillId="2" borderId="1" xfId="5" applyNumberFormat="1" applyFont="1" applyFill="1" applyBorder="1" applyProtection="1"/>
    <xf numFmtId="44" fontId="0" fillId="3" borderId="2" xfId="6" applyFont="1" applyFill="1" applyBorder="1" applyAlignment="1" applyProtection="1">
      <alignment horizontal="right"/>
      <protection locked="0"/>
    </xf>
    <xf numFmtId="0" fontId="0" fillId="3" borderId="2" xfId="0" applyFill="1" applyBorder="1" applyAlignment="1" applyProtection="1">
      <alignment horizontal="right" vertical="center"/>
      <protection locked="0"/>
    </xf>
    <xf numFmtId="44" fontId="0" fillId="3" borderId="0" xfId="6" applyFont="1" applyFill="1" applyBorder="1" applyAlignment="1" applyProtection="1">
      <alignment horizontal="right"/>
      <protection locked="0"/>
    </xf>
    <xf numFmtId="0" fontId="13" fillId="2" borderId="0" xfId="0" applyFont="1" applyFill="1" applyBorder="1"/>
    <xf numFmtId="0" fontId="4" fillId="2" borderId="0" xfId="0" applyFont="1" applyFill="1" applyBorder="1" applyAlignment="1">
      <alignment vertical="center"/>
    </xf>
    <xf numFmtId="0" fontId="13" fillId="2" borderId="0" xfId="0" applyFont="1" applyFill="1" applyBorder="1" applyAlignment="1">
      <alignment vertical="center"/>
    </xf>
    <xf numFmtId="10" fontId="0" fillId="0" borderId="0" xfId="1" applyNumberFormat="1" applyFont="1" applyBorder="1" applyAlignment="1" applyProtection="1">
      <alignment horizontal="right" vertical="center"/>
    </xf>
    <xf numFmtId="166" fontId="4" fillId="2" borderId="0" xfId="0" applyNumberFormat="1" applyFont="1" applyFill="1" applyBorder="1"/>
    <xf numFmtId="0" fontId="28" fillId="2" borderId="0" xfId="0" applyFont="1" applyFill="1" applyBorder="1"/>
    <xf numFmtId="0" fontId="28" fillId="2" borderId="0" xfId="0" applyFont="1" applyFill="1" applyBorder="1" applyAlignment="1">
      <alignment horizontal="right" vertical="center"/>
    </xf>
    <xf numFmtId="0" fontId="29" fillId="2" borderId="0" xfId="0" applyFont="1" applyFill="1" applyBorder="1"/>
    <xf numFmtId="0" fontId="30" fillId="2" borderId="0" xfId="0" applyFont="1" applyFill="1" applyBorder="1"/>
    <xf numFmtId="0" fontId="31" fillId="2" borderId="0" xfId="0" applyFont="1" applyFill="1" applyBorder="1" applyAlignment="1" applyProtection="1">
      <alignment wrapText="1"/>
    </xf>
    <xf numFmtId="0" fontId="32" fillId="2" borderId="0" xfId="0" applyFont="1" applyFill="1" applyBorder="1" applyAlignment="1" applyProtection="1">
      <alignment horizontal="center"/>
    </xf>
    <xf numFmtId="0" fontId="0" fillId="2" borderId="0" xfId="0" applyFont="1" applyFill="1" applyBorder="1"/>
    <xf numFmtId="0" fontId="34" fillId="2" borderId="0" xfId="0" applyFont="1" applyFill="1" applyBorder="1"/>
    <xf numFmtId="0" fontId="0" fillId="2" borderId="0" xfId="0" applyFont="1" applyFill="1" applyBorder="1" applyAlignment="1">
      <alignment vertical="center"/>
    </xf>
    <xf numFmtId="0" fontId="0" fillId="2" borderId="0" xfId="0" applyFont="1" applyFill="1" applyBorder="1" applyAlignment="1">
      <alignment horizontal="right" vertical="center"/>
    </xf>
    <xf numFmtId="0" fontId="0" fillId="3" borderId="2" xfId="0" applyFont="1" applyFill="1" applyBorder="1" applyAlignment="1" applyProtection="1">
      <alignment horizontal="right" vertical="center"/>
      <protection locked="0"/>
    </xf>
    <xf numFmtId="166" fontId="0" fillId="3" borderId="2" xfId="0" applyNumberFormat="1" applyFont="1" applyFill="1" applyBorder="1" applyAlignment="1" applyProtection="1">
      <alignment horizontal="right" vertical="center"/>
      <protection locked="0"/>
    </xf>
    <xf numFmtId="166" fontId="0" fillId="2" borderId="0" xfId="0" applyNumberFormat="1" applyFont="1" applyFill="1" applyBorder="1" applyAlignment="1">
      <alignment horizontal="right" vertical="center"/>
    </xf>
    <xf numFmtId="10" fontId="0" fillId="3" borderId="2" xfId="1" applyNumberFormat="1" applyFont="1" applyFill="1" applyBorder="1" applyAlignment="1" applyProtection="1">
      <alignment horizontal="right" vertical="center"/>
      <protection locked="0"/>
    </xf>
    <xf numFmtId="0" fontId="0" fillId="3" borderId="2" xfId="0" applyNumberFormat="1" applyFont="1" applyFill="1" applyBorder="1" applyAlignment="1" applyProtection="1">
      <alignment horizontal="right" vertical="center"/>
      <protection locked="0"/>
    </xf>
    <xf numFmtId="0" fontId="34" fillId="2" borderId="0" xfId="0" applyFont="1" applyFill="1" applyBorder="1" applyAlignment="1">
      <alignment horizontal="center"/>
    </xf>
    <xf numFmtId="0" fontId="0" fillId="3" borderId="2" xfId="0" applyFont="1" applyFill="1" applyBorder="1" applyAlignment="1" applyProtection="1">
      <alignment horizontal="center"/>
      <protection locked="0"/>
    </xf>
    <xf numFmtId="10" fontId="0" fillId="2" borderId="0" xfId="0" applyNumberFormat="1" applyFont="1" applyFill="1" applyBorder="1"/>
    <xf numFmtId="2" fontId="0" fillId="2" borderId="0" xfId="0" applyNumberFormat="1" applyFont="1" applyFill="1" applyBorder="1" applyAlignment="1" applyProtection="1">
      <alignment wrapText="1"/>
    </xf>
    <xf numFmtId="0" fontId="0" fillId="2" borderId="0" xfId="0" applyFont="1" applyFill="1" applyBorder="1" applyProtection="1"/>
    <xf numFmtId="0" fontId="0" fillId="0" borderId="0" xfId="0" applyFont="1" applyFill="1" applyBorder="1" applyProtection="1"/>
    <xf numFmtId="165" fontId="0" fillId="2" borderId="0" xfId="0" applyNumberFormat="1" applyFont="1" applyFill="1" applyBorder="1" applyAlignment="1">
      <alignment horizontal="right" vertical="center"/>
    </xf>
    <xf numFmtId="0" fontId="0" fillId="2" borderId="0" xfId="0" applyFont="1" applyFill="1" applyBorder="1" applyAlignment="1" applyProtection="1">
      <alignment vertical="center"/>
    </xf>
    <xf numFmtId="0" fontId="34" fillId="2" borderId="0" xfId="0" applyFont="1" applyFill="1" applyBorder="1" applyProtection="1"/>
    <xf numFmtId="0" fontId="0" fillId="2" borderId="0" xfId="0" applyFont="1" applyFill="1" applyBorder="1" applyAlignment="1" applyProtection="1">
      <alignment horizontal="left"/>
    </xf>
    <xf numFmtId="0" fontId="34" fillId="2" borderId="0" xfId="0" applyFont="1" applyFill="1" applyBorder="1" applyAlignment="1" applyProtection="1">
      <alignment horizontal="center"/>
    </xf>
    <xf numFmtId="0" fontId="0" fillId="3" borderId="2" xfId="0" applyFont="1" applyFill="1" applyBorder="1" applyAlignment="1" applyProtection="1">
      <alignment horizontal="center"/>
    </xf>
    <xf numFmtId="0" fontId="35" fillId="2" borderId="0" xfId="0" applyFont="1" applyFill="1" applyBorder="1" applyAlignment="1" applyProtection="1">
      <alignment horizontal="left"/>
    </xf>
    <xf numFmtId="168" fontId="20" fillId="3" borderId="2" xfId="6" applyNumberFormat="1" applyFont="1" applyFill="1" applyBorder="1" applyAlignment="1" applyProtection="1">
      <alignment horizontal="center" vertical="center" wrapText="1"/>
      <protection locked="0"/>
    </xf>
    <xf numFmtId="169" fontId="20" fillId="3" borderId="2" xfId="0" applyNumberFormat="1" applyFont="1" applyFill="1" applyBorder="1" applyAlignment="1" applyProtection="1">
      <alignment horizontal="center" vertical="center"/>
      <protection locked="0"/>
    </xf>
    <xf numFmtId="0" fontId="0" fillId="2" borderId="2" xfId="0" applyFill="1" applyBorder="1"/>
    <xf numFmtId="0" fontId="0" fillId="2" borderId="2" xfId="0" applyFill="1" applyBorder="1" applyAlignment="1">
      <alignment vertical="center"/>
    </xf>
    <xf numFmtId="0" fontId="8" fillId="2" borderId="2" xfId="0" applyFont="1" applyFill="1" applyBorder="1" applyAlignment="1">
      <alignment horizontal="center" vertical="center" wrapText="1"/>
    </xf>
    <xf numFmtId="169" fontId="20" fillId="2" borderId="2" xfId="0" applyNumberFormat="1" applyFont="1" applyFill="1" applyBorder="1" applyAlignment="1">
      <alignment horizontal="center" vertical="center"/>
    </xf>
    <xf numFmtId="170" fontId="19" fillId="2" borderId="2" xfId="6" applyNumberFormat="1" applyFont="1" applyFill="1" applyBorder="1" applyAlignment="1">
      <alignment horizontal="center" vertical="center" wrapText="1"/>
    </xf>
    <xf numFmtId="9" fontId="20" fillId="2" borderId="2" xfId="0" applyNumberFormat="1" applyFont="1" applyFill="1" applyBorder="1" applyAlignment="1">
      <alignment horizontal="center" vertical="center"/>
    </xf>
    <xf numFmtId="0" fontId="19" fillId="2" borderId="2" xfId="0" applyFont="1" applyFill="1" applyBorder="1"/>
    <xf numFmtId="10" fontId="20" fillId="2" borderId="2" xfId="0" applyNumberFormat="1" applyFont="1" applyFill="1" applyBorder="1" applyAlignment="1">
      <alignment horizontal="center" vertical="center"/>
    </xf>
    <xf numFmtId="168" fontId="19" fillId="2" borderId="2" xfId="6"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19" fillId="2" borderId="2" xfId="0" applyFont="1" applyFill="1" applyBorder="1" applyAlignment="1">
      <alignment horizontal="left" vertical="center"/>
    </xf>
    <xf numFmtId="168" fontId="20" fillId="2" borderId="2" xfId="6" applyNumberFormat="1" applyFont="1" applyFill="1" applyBorder="1" applyAlignment="1">
      <alignment horizontal="center" vertical="center" wrapText="1"/>
    </xf>
    <xf numFmtId="170" fontId="20" fillId="2" borderId="2" xfId="6" applyNumberFormat="1" applyFont="1" applyFill="1" applyBorder="1" applyAlignment="1">
      <alignment horizontal="center" vertical="center" wrapText="1"/>
    </xf>
    <xf numFmtId="171" fontId="20" fillId="2" borderId="2" xfId="6" applyNumberFormat="1" applyFont="1" applyFill="1" applyBorder="1" applyAlignment="1">
      <alignment horizontal="center" vertical="center" wrapText="1"/>
    </xf>
    <xf numFmtId="170" fontId="22" fillId="2" borderId="2" xfId="6" applyNumberFormat="1" applyFont="1" applyFill="1" applyBorder="1" applyAlignment="1">
      <alignment horizontal="center" vertical="center" wrapText="1"/>
    </xf>
    <xf numFmtId="0" fontId="19" fillId="2" borderId="2" xfId="0" applyFont="1" applyFill="1" applyBorder="1" applyAlignment="1">
      <alignment vertical="center"/>
    </xf>
    <xf numFmtId="0" fontId="1" fillId="2" borderId="2" xfId="6" applyNumberFormat="1" applyFill="1" applyBorder="1" applyAlignment="1">
      <alignment horizontal="center" vertical="center" wrapText="1"/>
    </xf>
    <xf numFmtId="0" fontId="19" fillId="2" borderId="2" xfId="6" applyNumberFormat="1" applyFont="1" applyFill="1" applyBorder="1" applyAlignment="1">
      <alignment horizontal="center" vertical="center" wrapText="1"/>
    </xf>
    <xf numFmtId="0" fontId="20" fillId="2" borderId="2" xfId="0" applyFont="1" applyFill="1" applyBorder="1" applyAlignment="1">
      <alignment horizontal="left" vertical="center"/>
    </xf>
    <xf numFmtId="172" fontId="19" fillId="2" borderId="2" xfId="0" applyNumberFormat="1" applyFont="1" applyFill="1" applyBorder="1" applyAlignment="1">
      <alignment horizontal="center" vertical="center"/>
    </xf>
    <xf numFmtId="173" fontId="19" fillId="2" borderId="2" xfId="0" applyNumberFormat="1" applyFont="1" applyFill="1" applyBorder="1" applyAlignment="1">
      <alignment horizontal="center" vertical="center"/>
    </xf>
    <xf numFmtId="0" fontId="19" fillId="2" borderId="2" xfId="0" applyFont="1" applyFill="1" applyBorder="1" applyAlignment="1">
      <alignment horizontal="center" vertical="center"/>
    </xf>
    <xf numFmtId="173" fontId="8" fillId="2" borderId="2" xfId="6" applyNumberFormat="1" applyFont="1" applyFill="1" applyBorder="1" applyAlignment="1">
      <alignment horizontal="center" vertical="center" wrapText="1"/>
    </xf>
    <xf numFmtId="173" fontId="19" fillId="2" borderId="2" xfId="6" applyNumberFormat="1" applyFont="1" applyFill="1" applyBorder="1" applyAlignment="1">
      <alignment horizontal="center" vertical="center" wrapText="1"/>
    </xf>
    <xf numFmtId="0" fontId="20" fillId="3" borderId="2" xfId="0" applyFont="1" applyFill="1" applyBorder="1" applyAlignment="1" applyProtection="1">
      <alignment horizontal="center" vertical="center"/>
      <protection locked="0"/>
    </xf>
    <xf numFmtId="10" fontId="20" fillId="3" borderId="2" xfId="1" applyNumberFormat="1" applyFont="1" applyFill="1" applyBorder="1" applyAlignment="1" applyProtection="1">
      <alignment horizontal="center" vertical="center" wrapText="1"/>
      <protection locked="0"/>
    </xf>
    <xf numFmtId="0" fontId="19" fillId="2" borderId="2" xfId="0" applyFont="1" applyFill="1" applyBorder="1" applyAlignment="1" applyProtection="1">
      <alignment horizontal="left" vertical="center"/>
    </xf>
    <xf numFmtId="168" fontId="19" fillId="2" borderId="2" xfId="6" applyNumberFormat="1" applyFont="1" applyFill="1" applyBorder="1" applyAlignment="1" applyProtection="1">
      <alignment horizontal="center" vertical="center" wrapText="1"/>
    </xf>
    <xf numFmtId="168" fontId="20" fillId="2" borderId="2" xfId="6" applyNumberFormat="1" applyFont="1" applyFill="1" applyBorder="1" applyAlignment="1" applyProtection="1">
      <alignment horizontal="center" vertical="center" wrapText="1"/>
    </xf>
    <xf numFmtId="0" fontId="0" fillId="2" borderId="2" xfId="0" applyFill="1" applyBorder="1" applyProtection="1"/>
    <xf numFmtId="168" fontId="20" fillId="3" borderId="2" xfId="6"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xf>
    <xf numFmtId="0" fontId="27" fillId="2" borderId="0" xfId="0" applyFont="1" applyFill="1" applyAlignment="1" applyProtection="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2" borderId="0" xfId="0" applyFont="1" applyFill="1" applyBorder="1" applyAlignment="1">
      <alignment horizontal="left"/>
    </xf>
    <xf numFmtId="0" fontId="2" fillId="2" borderId="0" xfId="0" applyFont="1" applyFill="1" applyBorder="1" applyAlignment="1">
      <alignment horizontal="left"/>
    </xf>
    <xf numFmtId="0" fontId="12" fillId="2" borderId="0" xfId="0" applyFont="1" applyFill="1" applyBorder="1" applyAlignment="1">
      <alignment horizontal="center" vertical="center" wrapText="1"/>
    </xf>
    <xf numFmtId="0" fontId="27" fillId="2" borderId="0" xfId="0" applyFont="1" applyFill="1" applyBorder="1" applyAlignment="1" applyProtection="1">
      <alignment horizontal="center" wrapText="1"/>
    </xf>
    <xf numFmtId="0" fontId="33" fillId="2" borderId="0" xfId="0" applyFont="1" applyFill="1" applyBorder="1" applyAlignment="1" applyProtection="1">
      <alignment horizont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168" fontId="20" fillId="3" borderId="2" xfId="6" applyNumberFormat="1" applyFont="1" applyFill="1" applyBorder="1" applyAlignment="1" applyProtection="1">
      <alignment horizontal="center" vertical="center" wrapText="1"/>
      <protection locked="0"/>
    </xf>
    <xf numFmtId="0" fontId="19" fillId="2" borderId="2" xfId="0" applyFont="1" applyFill="1" applyBorder="1" applyAlignment="1">
      <alignment horizontal="left" vertical="center"/>
    </xf>
    <xf numFmtId="0" fontId="20" fillId="3" borderId="2" xfId="0" applyFont="1" applyFill="1" applyBorder="1" applyAlignment="1" applyProtection="1">
      <alignment horizontal="center" vertical="center"/>
      <protection locked="0"/>
    </xf>
    <xf numFmtId="0" fontId="36" fillId="2" borderId="2" xfId="0" applyFont="1" applyFill="1" applyBorder="1" applyAlignment="1">
      <alignment horizontal="center" vertical="center" wrapText="1"/>
    </xf>
    <xf numFmtId="0" fontId="37" fillId="2" borderId="2" xfId="0" applyFont="1" applyFill="1" applyBorder="1"/>
    <xf numFmtId="4" fontId="19" fillId="2" borderId="2" xfId="0" applyNumberFormat="1" applyFont="1" applyFill="1" applyBorder="1" applyAlignment="1">
      <alignment horizontal="center" vertical="center" wrapText="1"/>
    </xf>
    <xf numFmtId="168" fontId="19" fillId="2" borderId="2" xfId="6" applyNumberFormat="1" applyFont="1" applyFill="1" applyBorder="1" applyAlignment="1">
      <alignment horizontal="center" vertical="center" wrapText="1"/>
    </xf>
    <xf numFmtId="0" fontId="10" fillId="2" borderId="0" xfId="0" applyFont="1" applyFill="1" applyAlignment="1" applyProtection="1">
      <alignment horizontal="left" vertical="top" wrapText="1"/>
    </xf>
    <xf numFmtId="0" fontId="5" fillId="2" borderId="0" xfId="0" applyFont="1" applyFill="1" applyAlignment="1" applyProtection="1">
      <alignment horizontal="center"/>
    </xf>
    <xf numFmtId="0" fontId="10" fillId="2" borderId="0" xfId="0" applyFont="1" applyFill="1" applyAlignment="1" applyProtection="1">
      <alignment horizontal="left" vertical="top"/>
    </xf>
    <xf numFmtId="0" fontId="11" fillId="2" borderId="0" xfId="0" applyFont="1" applyFill="1" applyAlignment="1" applyProtection="1">
      <alignment horizontal="left" vertical="top" wrapText="1"/>
    </xf>
    <xf numFmtId="0" fontId="8" fillId="2" borderId="0" xfId="2" applyFont="1" applyFill="1" applyAlignment="1" applyProtection="1">
      <alignment horizontal="left" vertical="top" wrapText="1"/>
    </xf>
    <xf numFmtId="0" fontId="7" fillId="2" borderId="0" xfId="2" applyFont="1" applyFill="1" applyAlignment="1" applyProtection="1">
      <alignment horizontal="left" vertical="top" wrapText="1"/>
    </xf>
    <xf numFmtId="0" fontId="10" fillId="2" borderId="0" xfId="0" applyFont="1" applyFill="1" applyAlignment="1" applyProtection="1">
      <alignment vertical="top" wrapText="1"/>
    </xf>
    <xf numFmtId="0" fontId="11" fillId="2" borderId="0" xfId="0" applyFont="1" applyFill="1" applyAlignment="1" applyProtection="1">
      <alignment vertical="top" wrapText="1"/>
    </xf>
    <xf numFmtId="0" fontId="0" fillId="0" borderId="0" xfId="0" applyAlignment="1" applyProtection="1">
      <alignment vertical="top" wrapText="1"/>
    </xf>
    <xf numFmtId="0" fontId="7" fillId="2" borderId="0" xfId="2" applyNumberFormat="1" applyFont="1" applyFill="1" applyBorder="1" applyAlignment="1" applyProtection="1">
      <alignment horizontal="left" vertical="top" wrapText="1"/>
    </xf>
    <xf numFmtId="0" fontId="7" fillId="0" borderId="0" xfId="2" applyFont="1" applyBorder="1" applyAlignment="1" applyProtection="1">
      <alignment horizontal="left" vertical="top" wrapText="1"/>
    </xf>
    <xf numFmtId="0" fontId="0" fillId="0" borderId="0" xfId="0" applyAlignment="1" applyProtection="1">
      <alignment wrapText="1"/>
    </xf>
    <xf numFmtId="0" fontId="36" fillId="2" borderId="2" xfId="0" applyFont="1" applyFill="1" applyBorder="1" applyAlignment="1">
      <alignment horizontal="center"/>
    </xf>
    <xf numFmtId="0" fontId="8" fillId="2" borderId="2"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18" fillId="2" borderId="2" xfId="0" applyFont="1" applyFill="1" applyBorder="1" applyAlignment="1" applyProtection="1">
      <alignment vertical="center"/>
    </xf>
    <xf numFmtId="0" fontId="20" fillId="2" borderId="2" xfId="0" applyFont="1" applyFill="1" applyBorder="1" applyAlignment="1" applyProtection="1">
      <alignment vertical="top" wrapText="1"/>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3" fillId="4" borderId="0" xfId="0" applyFont="1" applyFill="1" applyBorder="1" applyAlignment="1" applyProtection="1">
      <alignment horizontal="left"/>
    </xf>
    <xf numFmtId="0" fontId="0" fillId="3" borderId="3"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cellXfs>
  <cellStyles count="7">
    <cellStyle name="Comma" xfId="5" builtinId="3"/>
    <cellStyle name="Currency" xfId="6" builtinId="4"/>
    <cellStyle name="Currency 2" xfId="3"/>
    <cellStyle name="Normal" xfId="0" builtinId="0"/>
    <cellStyle name="Normal 2" xfId="2"/>
    <cellStyle name="Percent" xfId="1" builtinId="5"/>
    <cellStyle name="Percent 2" xfId="4"/>
  </cellStyles>
  <dxfs count="11">
    <dxf>
      <font>
        <condense val="0"/>
        <extend val="0"/>
        <color indexed="56"/>
      </font>
      <fill>
        <patternFill>
          <bgColor rgb="FF00B050"/>
        </patternFill>
      </fill>
    </dxf>
    <dxf>
      <font>
        <color theme="0"/>
      </font>
      <fill>
        <patternFill>
          <bgColor rgb="FFFF0000"/>
        </patternFill>
      </fill>
    </dxf>
    <dxf>
      <font>
        <condense val="0"/>
        <extend val="0"/>
        <color indexed="56"/>
      </font>
    </dxf>
    <dxf>
      <font>
        <condense val="0"/>
        <extend val="0"/>
        <color indexed="56"/>
      </font>
      <fill>
        <patternFill>
          <bgColor rgb="FF00B050"/>
        </patternFill>
      </fill>
    </dxf>
    <dxf>
      <font>
        <color theme="0"/>
      </font>
      <fill>
        <patternFill>
          <bgColor rgb="FFFF0000"/>
        </patternFill>
      </fill>
    </dxf>
    <dxf>
      <font>
        <condense val="0"/>
        <extend val="0"/>
        <color indexed="56"/>
      </font>
    </dxf>
    <dxf>
      <font>
        <condense val="0"/>
        <extend val="0"/>
        <color indexed="56"/>
      </font>
    </dxf>
    <dxf>
      <fill>
        <patternFill>
          <bgColor indexed="42"/>
        </patternFill>
      </fill>
    </dxf>
    <dxf>
      <fill>
        <patternFill>
          <bgColor indexed="10"/>
        </patternFill>
      </fill>
    </dxf>
    <dxf>
      <font>
        <color auto="1"/>
      </font>
      <fill>
        <patternFill>
          <fgColor rgb="FFFF6161"/>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2</xdr:row>
      <xdr:rowOff>47625</xdr:rowOff>
    </xdr:from>
    <xdr:to>
      <xdr:col>9</xdr:col>
      <xdr:colOff>142875</xdr:colOff>
      <xdr:row>8</xdr:row>
      <xdr:rowOff>88675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1" y="47625"/>
          <a:ext cx="4733924" cy="1184050"/>
        </a:xfrm>
        <a:prstGeom prst="rect">
          <a:avLst/>
        </a:prstGeom>
      </xdr:spPr>
    </xdr:pic>
    <xdr:clientData/>
  </xdr:twoCellAnchor>
  <xdr:twoCellAnchor>
    <xdr:from>
      <xdr:col>2</xdr:col>
      <xdr:colOff>590550</xdr:colOff>
      <xdr:row>9</xdr:row>
      <xdr:rowOff>76200</xdr:rowOff>
    </xdr:from>
    <xdr:to>
      <xdr:col>8</xdr:col>
      <xdr:colOff>123825</xdr:colOff>
      <xdr:row>13</xdr:row>
      <xdr:rowOff>161925</xdr:rowOff>
    </xdr:to>
    <xdr:sp macro="[0]!LeaseClick" textlink="">
      <xdr:nvSpPr>
        <xdr:cNvPr id="4" name="Snip Diagonal Corner Rectangle 3"/>
        <xdr:cNvSpPr/>
      </xdr:nvSpPr>
      <xdr:spPr>
        <a:xfrm>
          <a:off x="1809750" y="1409700"/>
          <a:ext cx="3190875" cy="847725"/>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600">
              <a:solidFill>
                <a:srgbClr val="C00000"/>
              </a:solidFill>
              <a:latin typeface="Arial Rounded MT Bold" panose="020F0704030504030204" pitchFamily="34" charset="0"/>
            </a:rPr>
            <a:t>Lease Doc Calculator</a:t>
          </a:r>
        </a:p>
      </xdr:txBody>
    </xdr:sp>
    <xdr:clientData/>
  </xdr:twoCellAnchor>
  <xdr:twoCellAnchor>
    <xdr:from>
      <xdr:col>2</xdr:col>
      <xdr:colOff>590550</xdr:colOff>
      <xdr:row>14</xdr:row>
      <xdr:rowOff>128588</xdr:rowOff>
    </xdr:from>
    <xdr:to>
      <xdr:col>8</xdr:col>
      <xdr:colOff>123825</xdr:colOff>
      <xdr:row>19</xdr:row>
      <xdr:rowOff>23813</xdr:rowOff>
    </xdr:to>
    <xdr:sp macro="[0]!SMSF" textlink="">
      <xdr:nvSpPr>
        <xdr:cNvPr id="8" name="Snip Diagonal Corner Rectangle 7"/>
        <xdr:cNvSpPr/>
      </xdr:nvSpPr>
      <xdr:spPr>
        <a:xfrm>
          <a:off x="1809750" y="2414588"/>
          <a:ext cx="3190875" cy="847725"/>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600">
              <a:solidFill>
                <a:srgbClr val="C00000"/>
              </a:solidFill>
              <a:latin typeface="Arial Rounded MT Bold" panose="020F0704030504030204" pitchFamily="34" charset="0"/>
            </a:rPr>
            <a:t>SMSF Calculator</a:t>
          </a:r>
        </a:p>
      </xdr:txBody>
    </xdr:sp>
    <xdr:clientData/>
  </xdr:twoCellAnchor>
  <xdr:twoCellAnchor>
    <xdr:from>
      <xdr:col>2</xdr:col>
      <xdr:colOff>590550</xdr:colOff>
      <xdr:row>19</xdr:row>
      <xdr:rowOff>180975</xdr:rowOff>
    </xdr:from>
    <xdr:to>
      <xdr:col>8</xdr:col>
      <xdr:colOff>123825</xdr:colOff>
      <xdr:row>24</xdr:row>
      <xdr:rowOff>76200</xdr:rowOff>
    </xdr:to>
    <xdr:sp macro="[0]!Commercial" textlink="">
      <xdr:nvSpPr>
        <xdr:cNvPr id="9" name="Snip Diagonal Corner Rectangle 8"/>
        <xdr:cNvSpPr/>
      </xdr:nvSpPr>
      <xdr:spPr>
        <a:xfrm>
          <a:off x="1809750" y="3419475"/>
          <a:ext cx="3190875" cy="847725"/>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600">
              <a:solidFill>
                <a:srgbClr val="C00000"/>
              </a:solidFill>
              <a:latin typeface="Arial Rounded MT Bold" panose="020F0704030504030204" pitchFamily="34" charset="0"/>
            </a:rPr>
            <a:t>Commercial 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275897</xdr:colOff>
      <xdr:row>1</xdr:row>
      <xdr:rowOff>433552</xdr:rowOff>
    </xdr:from>
    <xdr:to>
      <xdr:col>4</xdr:col>
      <xdr:colOff>1635672</xdr:colOff>
      <xdr:row>1</xdr:row>
      <xdr:rowOff>433552</xdr:rowOff>
    </xdr:to>
    <xdr:cxnSp macro="">
      <xdr:nvCxnSpPr>
        <xdr:cNvPr id="3" name="Straight Connector 2"/>
        <xdr:cNvCxnSpPr/>
      </xdr:nvCxnSpPr>
      <xdr:spPr>
        <a:xfrm>
          <a:off x="571500" y="624052"/>
          <a:ext cx="4112172" cy="0"/>
        </a:xfrm>
        <a:prstGeom prst="line">
          <a:avLst/>
        </a:prstGeom>
        <a:ln w="19050">
          <a:solidFill>
            <a:srgbClr val="C0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52551</xdr:colOff>
      <xdr:row>0</xdr:row>
      <xdr:rowOff>32845</xdr:rowOff>
    </xdr:from>
    <xdr:to>
      <xdr:col>1</xdr:col>
      <xdr:colOff>886810</xdr:colOff>
      <xdr:row>1</xdr:row>
      <xdr:rowOff>124946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51" y="32845"/>
          <a:ext cx="1129862" cy="282601"/>
        </a:xfrm>
        <a:prstGeom prst="rect">
          <a:avLst/>
        </a:prstGeom>
      </xdr:spPr>
    </xdr:pic>
    <xdr:clientData/>
  </xdr:twoCellAnchor>
  <xdr:twoCellAnchor>
    <xdr:from>
      <xdr:col>4</xdr:col>
      <xdr:colOff>1445173</xdr:colOff>
      <xdr:row>0</xdr:row>
      <xdr:rowOff>65691</xdr:rowOff>
    </xdr:from>
    <xdr:to>
      <xdr:col>5</xdr:col>
      <xdr:colOff>190501</xdr:colOff>
      <xdr:row>1</xdr:row>
      <xdr:rowOff>124810</xdr:rowOff>
    </xdr:to>
    <xdr:sp macro="[0]!Home" textlink="">
      <xdr:nvSpPr>
        <xdr:cNvPr id="5" name="Snip Diagonal Corner Rectangle 4"/>
        <xdr:cNvSpPr/>
      </xdr:nvSpPr>
      <xdr:spPr>
        <a:xfrm>
          <a:off x="4493173" y="65691"/>
          <a:ext cx="676604" cy="249619"/>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Home</a:t>
          </a:r>
        </a:p>
      </xdr:txBody>
    </xdr:sp>
    <xdr:clientData/>
  </xdr:twoCellAnchor>
  <xdr:twoCellAnchor>
    <xdr:from>
      <xdr:col>4</xdr:col>
      <xdr:colOff>671349</xdr:colOff>
      <xdr:row>0</xdr:row>
      <xdr:rowOff>60436</xdr:rowOff>
    </xdr:from>
    <xdr:to>
      <xdr:col>4</xdr:col>
      <xdr:colOff>1347953</xdr:colOff>
      <xdr:row>1</xdr:row>
      <xdr:rowOff>119555</xdr:rowOff>
    </xdr:to>
    <xdr:sp macro="[0]!Sheet4.Clearcontents" textlink="">
      <xdr:nvSpPr>
        <xdr:cNvPr id="6" name="Snip Diagonal Corner Rectangle 5"/>
        <xdr:cNvSpPr/>
      </xdr:nvSpPr>
      <xdr:spPr>
        <a:xfrm>
          <a:off x="3719349" y="60436"/>
          <a:ext cx="676604" cy="249619"/>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Reset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11647</xdr:colOff>
      <xdr:row>1</xdr:row>
      <xdr:rowOff>54097</xdr:rowOff>
    </xdr:from>
    <xdr:to>
      <xdr:col>2</xdr:col>
      <xdr:colOff>1885532</xdr:colOff>
      <xdr:row>4</xdr:row>
      <xdr:rowOff>22103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22" y="139822"/>
          <a:ext cx="2083435" cy="425206"/>
        </a:xfrm>
        <a:prstGeom prst="rect">
          <a:avLst/>
        </a:prstGeom>
      </xdr:spPr>
    </xdr:pic>
    <xdr:clientData/>
  </xdr:twoCellAnchor>
  <xdr:twoCellAnchor>
    <xdr:from>
      <xdr:col>2</xdr:col>
      <xdr:colOff>847725</xdr:colOff>
      <xdr:row>5</xdr:row>
      <xdr:rowOff>57150</xdr:rowOff>
    </xdr:from>
    <xdr:to>
      <xdr:col>6</xdr:col>
      <xdr:colOff>1495425</xdr:colOff>
      <xdr:row>5</xdr:row>
      <xdr:rowOff>57150</xdr:rowOff>
    </xdr:to>
    <xdr:cxnSp macro="">
      <xdr:nvCxnSpPr>
        <xdr:cNvPr id="5" name="Straight Connector 4"/>
        <xdr:cNvCxnSpPr/>
      </xdr:nvCxnSpPr>
      <xdr:spPr>
        <a:xfrm flipV="1">
          <a:off x="1152525" y="1095375"/>
          <a:ext cx="6438900" cy="0"/>
        </a:xfrm>
        <a:prstGeom prst="line">
          <a:avLst/>
        </a:prstGeom>
        <a:ln w="19050">
          <a:solidFill>
            <a:srgbClr val="C0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1581150</xdr:colOff>
      <xdr:row>1</xdr:row>
      <xdr:rowOff>0</xdr:rowOff>
    </xdr:from>
    <xdr:to>
      <xdr:col>6</xdr:col>
      <xdr:colOff>2301150</xdr:colOff>
      <xdr:row>3</xdr:row>
      <xdr:rowOff>55200</xdr:rowOff>
    </xdr:to>
    <xdr:sp macro="[0]!Home" textlink="">
      <xdr:nvSpPr>
        <xdr:cNvPr id="8" name="Snip Diagonal Corner Rectangle 7"/>
        <xdr:cNvSpPr/>
      </xdr:nvSpPr>
      <xdr:spPr>
        <a:xfrm>
          <a:off x="7677150" y="85725"/>
          <a:ext cx="720000" cy="3600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Home</a:t>
          </a:r>
        </a:p>
      </xdr:txBody>
    </xdr:sp>
    <xdr:clientData/>
  </xdr:twoCellAnchor>
  <xdr:twoCellAnchor>
    <xdr:from>
      <xdr:col>6</xdr:col>
      <xdr:colOff>619125</xdr:colOff>
      <xdr:row>1</xdr:row>
      <xdr:rowOff>0</xdr:rowOff>
    </xdr:from>
    <xdr:to>
      <xdr:col>6</xdr:col>
      <xdr:colOff>1339125</xdr:colOff>
      <xdr:row>3</xdr:row>
      <xdr:rowOff>55200</xdr:rowOff>
    </xdr:to>
    <xdr:sp macro="[0]!Sheet1.Clearcontents" textlink="">
      <xdr:nvSpPr>
        <xdr:cNvPr id="9" name="Snip Diagonal Corner Rectangle 8"/>
        <xdr:cNvSpPr/>
      </xdr:nvSpPr>
      <xdr:spPr>
        <a:xfrm>
          <a:off x="6715125" y="85725"/>
          <a:ext cx="720000" cy="3600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Reset</a:t>
          </a:r>
        </a:p>
      </xdr:txBody>
    </xdr:sp>
    <xdr:clientData/>
  </xdr:twoCellAnchor>
  <xdr:twoCellAnchor>
    <xdr:from>
      <xdr:col>5</xdr:col>
      <xdr:colOff>1466850</xdr:colOff>
      <xdr:row>1</xdr:row>
      <xdr:rowOff>0</xdr:rowOff>
    </xdr:from>
    <xdr:to>
      <xdr:col>6</xdr:col>
      <xdr:colOff>377100</xdr:colOff>
      <xdr:row>3</xdr:row>
      <xdr:rowOff>55200</xdr:rowOff>
    </xdr:to>
    <xdr:sp macro="[0]!_xludf.help" textlink="">
      <xdr:nvSpPr>
        <xdr:cNvPr id="10" name="Snip Diagonal Corner Rectangle 9"/>
        <xdr:cNvSpPr/>
      </xdr:nvSpPr>
      <xdr:spPr>
        <a:xfrm>
          <a:off x="5753100" y="85725"/>
          <a:ext cx="720000" cy="3600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Help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56029</xdr:colOff>
      <xdr:row>0</xdr:row>
      <xdr:rowOff>127187</xdr:rowOff>
    </xdr:from>
    <xdr:to>
      <xdr:col>4</xdr:col>
      <xdr:colOff>453902</xdr:colOff>
      <xdr:row>0</xdr:row>
      <xdr:rowOff>717176</xdr:rowOff>
    </xdr:to>
    <xdr:pic>
      <xdr:nvPicPr>
        <xdr:cNvPr id="3" name="Picture 1">
          <a:extLst>
            <a:ext uri="{FF2B5EF4-FFF2-40B4-BE49-F238E27FC236}">
              <a16:creationId xmlns:a16="http://schemas.microsoft.com/office/drawing/2014/main" id="{00000000-0008-0000-0000-00007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9" y="127187"/>
          <a:ext cx="2941608" cy="58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143995</xdr:colOff>
      <xdr:row>0</xdr:row>
      <xdr:rowOff>313205</xdr:rowOff>
    </xdr:from>
    <xdr:to>
      <xdr:col>8</xdr:col>
      <xdr:colOff>1042146</xdr:colOff>
      <xdr:row>0</xdr:row>
      <xdr:rowOff>673205</xdr:rowOff>
    </xdr:to>
    <xdr:sp macro="[0]!Home" textlink="">
      <xdr:nvSpPr>
        <xdr:cNvPr id="4" name="Snip Diagonal Corner Rectangle 3"/>
        <xdr:cNvSpPr/>
      </xdr:nvSpPr>
      <xdr:spPr>
        <a:xfrm>
          <a:off x="8044142" y="313205"/>
          <a:ext cx="898151" cy="3600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Home</a:t>
          </a:r>
        </a:p>
      </xdr:txBody>
    </xdr:sp>
    <xdr:clientData/>
  </xdr:twoCellAnchor>
  <xdr:twoCellAnchor>
    <xdr:from>
      <xdr:col>9</xdr:col>
      <xdr:colOff>62192</xdr:colOff>
      <xdr:row>0</xdr:row>
      <xdr:rowOff>313765</xdr:rowOff>
    </xdr:from>
    <xdr:to>
      <xdr:col>9</xdr:col>
      <xdr:colOff>963706</xdr:colOff>
      <xdr:row>0</xdr:row>
      <xdr:rowOff>673765</xdr:rowOff>
    </xdr:to>
    <xdr:sp macro="[0]!Sheet5.Clearcontents" textlink="">
      <xdr:nvSpPr>
        <xdr:cNvPr id="5" name="Snip Diagonal Corner Rectangle 4"/>
        <xdr:cNvSpPr/>
      </xdr:nvSpPr>
      <xdr:spPr>
        <a:xfrm>
          <a:off x="9071721" y="313765"/>
          <a:ext cx="901514" cy="3600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Reset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603250</xdr:colOff>
      <xdr:row>1</xdr:row>
      <xdr:rowOff>74083</xdr:rowOff>
    </xdr:from>
    <xdr:to>
      <xdr:col>4</xdr:col>
      <xdr:colOff>42334</xdr:colOff>
      <xdr:row>4</xdr:row>
      <xdr:rowOff>52916</xdr:rowOff>
    </xdr:to>
    <xdr:sp macro="[0]!Home" textlink="">
      <xdr:nvSpPr>
        <xdr:cNvPr id="4" name="Snip Diagonal Corner Rectangle 3"/>
        <xdr:cNvSpPr/>
      </xdr:nvSpPr>
      <xdr:spPr>
        <a:xfrm>
          <a:off x="740833" y="201083"/>
          <a:ext cx="1407584" cy="444500"/>
        </a:xfrm>
        <a:prstGeom prst="snip2DiagRect">
          <a:avLst/>
        </a:prstGeom>
        <a:solidFill>
          <a:schemeClr val="bg1"/>
        </a:solidFill>
        <a:ln>
          <a:solidFill>
            <a:srgbClr val="C00000"/>
          </a:solidFill>
        </a:ln>
        <a:effectLst>
          <a:outerShdw blurRad="50800" dist="38100" dir="2700000" algn="tl" rotWithShape="0">
            <a:prstClr val="black">
              <a:alpha val="40000"/>
            </a:prstClr>
          </a:out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a:solidFill>
                <a:srgbClr val="C00000"/>
              </a:solidFill>
              <a:latin typeface="Arial Rounded MT Bold" panose="020F0704030504030204" pitchFamily="34" charset="0"/>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abSelected="1" workbookViewId="0">
      <selection activeCell="B31" sqref="A1:XFD1048576"/>
    </sheetView>
  </sheetViews>
  <sheetFormatPr defaultRowHeight="15" x14ac:dyDescent="0.25"/>
  <cols>
    <col min="1" max="16384" width="9.140625" style="1"/>
  </cols>
  <sheetData/>
  <sheetProtection algorithmName="SHA-512" hashValue="XnFjuo1tKmH82lYO5KY1Pv58GtJzV9nsfXTTmF0XvHShT8JgsBvRMaFSHQuIzDlTbdBRBH9Eu+2Qq9ROPOkUcg==" saltValue="nwmMOyfc5O3QbRL+s0jkB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31"/>
  <sheetViews>
    <sheetView zoomScaleNormal="100" workbookViewId="0">
      <selection activeCell="E4" sqref="E4"/>
    </sheetView>
  </sheetViews>
  <sheetFormatPr defaultRowHeight="15" x14ac:dyDescent="0.25"/>
  <cols>
    <col min="1" max="1" width="4.42578125" style="5" customWidth="1"/>
    <col min="2" max="2" width="27.140625" style="5" customWidth="1"/>
    <col min="3" max="3" width="14" style="5" customWidth="1"/>
    <col min="4" max="4" width="0.140625" style="5" customWidth="1"/>
    <col min="5" max="5" width="29" style="5" customWidth="1"/>
    <col min="6" max="6" width="4.28515625" style="5" customWidth="1"/>
    <col min="7" max="16384" width="9.140625" style="5"/>
  </cols>
  <sheetData>
    <row r="2" spans="2:7" ht="36" x14ac:dyDescent="0.25">
      <c r="B2" s="101" t="s">
        <v>55</v>
      </c>
      <c r="C2" s="101"/>
      <c r="D2" s="101"/>
      <c r="E2" s="101"/>
      <c r="F2" s="26"/>
      <c r="G2" s="18"/>
    </row>
    <row r="4" spans="2:7" x14ac:dyDescent="0.25">
      <c r="B4" s="19" t="s">
        <v>56</v>
      </c>
      <c r="C4" s="19"/>
      <c r="D4" s="20" t="s">
        <v>125</v>
      </c>
      <c r="E4" s="15"/>
      <c r="F4" s="21"/>
    </row>
    <row r="6" spans="2:7" x14ac:dyDescent="0.25">
      <c r="B6" s="19" t="s">
        <v>57</v>
      </c>
      <c r="C6" s="19"/>
      <c r="D6" s="20" t="s">
        <v>126</v>
      </c>
      <c r="E6" s="33"/>
    </row>
    <row r="8" spans="2:7" x14ac:dyDescent="0.25">
      <c r="B8" s="19" t="s">
        <v>59</v>
      </c>
      <c r="C8" s="19"/>
    </row>
    <row r="9" spans="2:7" x14ac:dyDescent="0.25">
      <c r="B9" s="5" t="s">
        <v>60</v>
      </c>
      <c r="D9" s="20" t="s">
        <v>127</v>
      </c>
      <c r="E9" s="16"/>
      <c r="F9" s="21"/>
      <c r="G9" s="22"/>
    </row>
    <row r="10" spans="2:7" x14ac:dyDescent="0.25">
      <c r="B10" s="5" t="s">
        <v>61</v>
      </c>
      <c r="D10" s="20" t="s">
        <v>128</v>
      </c>
      <c r="E10" s="17"/>
      <c r="F10" s="21"/>
    </row>
    <row r="11" spans="2:7" x14ac:dyDescent="0.25">
      <c r="B11" s="5" t="s">
        <v>62</v>
      </c>
      <c r="D11" s="20" t="s">
        <v>129</v>
      </c>
      <c r="E11" s="32"/>
    </row>
    <row r="12" spans="2:7" x14ac:dyDescent="0.25">
      <c r="B12" s="5" t="s">
        <v>4</v>
      </c>
      <c r="D12" s="20" t="s">
        <v>141</v>
      </c>
      <c r="E12" s="32"/>
    </row>
    <row r="13" spans="2:7" x14ac:dyDescent="0.25">
      <c r="B13" s="5" t="s">
        <v>130</v>
      </c>
      <c r="E13" s="25">
        <f>E10*E9/12</f>
        <v>0</v>
      </c>
    </row>
    <row r="14" spans="2:7" x14ac:dyDescent="0.25">
      <c r="B14" s="5" t="s">
        <v>63</v>
      </c>
      <c r="E14" s="23">
        <f>IF(E11="IO",E9*(E10/12),IFERROR(-PMT(E10/12,E12*12,E9,0,0),0))</f>
        <v>0</v>
      </c>
    </row>
    <row r="15" spans="2:7" x14ac:dyDescent="0.25">
      <c r="B15" s="5" t="s">
        <v>64</v>
      </c>
      <c r="E15" s="24">
        <f>E14*12</f>
        <v>0</v>
      </c>
    </row>
    <row r="18" spans="2:8" x14ac:dyDescent="0.25">
      <c r="B18" s="19" t="s">
        <v>65</v>
      </c>
      <c r="C18" s="19"/>
      <c r="D18" s="20" t="s">
        <v>131</v>
      </c>
      <c r="E18" s="16"/>
      <c r="F18" s="21"/>
    </row>
    <row r="19" spans="2:8" x14ac:dyDescent="0.25">
      <c r="B19" s="19" t="s">
        <v>138</v>
      </c>
      <c r="C19" s="19"/>
      <c r="D19" s="20" t="s">
        <v>150</v>
      </c>
      <c r="E19" s="31"/>
      <c r="F19" s="21"/>
    </row>
    <row r="20" spans="2:8" x14ac:dyDescent="0.25">
      <c r="B20" s="19" t="s">
        <v>66</v>
      </c>
      <c r="C20" s="19"/>
      <c r="E20" s="24">
        <f>IF(E19="Tenet",E18*12,E18*12*80%)</f>
        <v>0</v>
      </c>
    </row>
    <row r="22" spans="2:8" ht="15.75" thickBot="1" x14ac:dyDescent="0.3"/>
    <row r="23" spans="2:8" ht="16.5" thickTop="1" thickBot="1" x14ac:dyDescent="0.3">
      <c r="B23" s="19" t="s">
        <v>142</v>
      </c>
      <c r="C23" s="19"/>
      <c r="E23" s="30" t="str">
        <f>IFERROR(E20/(E13*12),"")</f>
        <v/>
      </c>
    </row>
    <row r="24" spans="2:8" ht="15.75" thickTop="1" x14ac:dyDescent="0.25"/>
    <row r="25" spans="2:8" x14ac:dyDescent="0.25">
      <c r="B25" s="21"/>
      <c r="C25" s="21"/>
    </row>
    <row r="26" spans="2:8" x14ac:dyDescent="0.25">
      <c r="B26" s="21"/>
      <c r="C26" s="21"/>
    </row>
    <row r="27" spans="2:8" ht="15.75" thickBot="1" x14ac:dyDescent="0.3">
      <c r="B27" s="19" t="s">
        <v>67</v>
      </c>
      <c r="C27" s="19"/>
    </row>
    <row r="28" spans="2:8" ht="56.25" customHeight="1" thickBot="1" x14ac:dyDescent="0.3">
      <c r="B28" s="139"/>
      <c r="C28" s="140"/>
      <c r="D28" s="140"/>
      <c r="E28" s="141"/>
      <c r="F28" s="27"/>
      <c r="G28" s="27"/>
      <c r="H28" s="28"/>
    </row>
    <row r="30" spans="2:8" x14ac:dyDescent="0.25">
      <c r="B30" s="29" t="s">
        <v>74</v>
      </c>
      <c r="C30" s="29" t="s">
        <v>151</v>
      </c>
    </row>
    <row r="31" spans="2:8" x14ac:dyDescent="0.25">
      <c r="B31" s="29" t="s">
        <v>132</v>
      </c>
      <c r="C31" s="29" t="s">
        <v>133</v>
      </c>
    </row>
  </sheetData>
  <sheetProtection algorithmName="SHA-512" hashValue="yt6N3YYeEL5vOWmSelhwRyB0scy+eSsJDC4n6Zh+Qur9WysQyKKHHcHaiG7cbzA5/TDYW8A0FyLeIgny6Da4Hg==" saltValue="0VHIymBSmbIloK7Z4Ygr8g==" spinCount="100000" sheet="1" selectLockedCells="1"/>
  <mergeCells count="2">
    <mergeCell ref="B2:E2"/>
    <mergeCell ref="B28:E28"/>
  </mergeCells>
  <conditionalFormatting sqref="E23">
    <cfRule type="cellIs" dxfId="10" priority="1" operator="lessThan">
      <formula>1.5</formula>
    </cfRule>
    <cfRule type="colorScale" priority="2">
      <colorScale>
        <cfvo type="min"/>
        <cfvo type="max"/>
        <color rgb="FFFF6161"/>
        <color rgb="FF89CDB3"/>
      </colorScale>
    </cfRule>
    <cfRule type="expression" dxfId="9" priority="3">
      <formula>$G$23</formula>
    </cfRule>
    <cfRule type="expression" priority="4">
      <formula>$G$23</formula>
    </cfRule>
  </conditionalFormatting>
  <dataValidations count="6">
    <dataValidation type="date" allowBlank="1" showInputMessage="1" showErrorMessage="1" sqref="E4">
      <formula1>43101</formula1>
      <formula2>47484</formula2>
    </dataValidation>
    <dataValidation type="decimal" allowBlank="1" showInputMessage="1" showErrorMessage="1" sqref="E9">
      <formula1>0</formula1>
      <formula2>99999999</formula2>
    </dataValidation>
    <dataValidation type="decimal" allowBlank="1" showInputMessage="1" showErrorMessage="1" sqref="E10">
      <formula1>0</formula1>
      <formula2>1</formula2>
    </dataValidation>
    <dataValidation type="list" allowBlank="1" showInputMessage="1" showErrorMessage="1" sqref="E19">
      <formula1>$C$30:$C$31</formula1>
    </dataValidation>
    <dataValidation type="list" allowBlank="1" showInputMessage="1" showErrorMessage="1" sqref="E11">
      <formula1>$B$30:$B$31</formula1>
    </dataValidation>
    <dataValidation type="whole" allowBlank="1" showInputMessage="1" showErrorMessage="1" sqref="E12">
      <formula1>1</formula1>
      <formula2>25</formula2>
    </dataValidation>
  </dataValidations>
  <pageMargins left="0.7" right="0.7" top="0.75" bottom="0.75" header="0.3" footer="0.3"/>
  <pageSetup paperSize="9"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R46"/>
  <sheetViews>
    <sheetView zoomScaleNormal="100" workbookViewId="0">
      <selection activeCell="F11" sqref="F11"/>
    </sheetView>
  </sheetViews>
  <sheetFormatPr defaultColWidth="9.140625" defaultRowHeight="12" x14ac:dyDescent="0.2"/>
  <cols>
    <col min="1" max="1" width="2.140625" style="39" customWidth="1"/>
    <col min="2" max="2" width="3.140625" style="39" customWidth="1"/>
    <col min="3" max="3" width="42.42578125" style="39" customWidth="1"/>
    <col min="4" max="4" width="17.28515625" style="39" customWidth="1"/>
    <col min="5" max="5" width="0.140625" style="39" customWidth="1"/>
    <col min="6" max="6" width="27.140625" style="40" customWidth="1"/>
    <col min="7" max="7" width="34.5703125" style="40" customWidth="1"/>
    <col min="8" max="9" width="1.28515625" style="39" customWidth="1"/>
    <col min="10" max="13" width="9.140625" style="39"/>
    <col min="14" max="14" width="10.7109375" style="41" bestFit="1" customWidth="1"/>
    <col min="15" max="15" width="9.140625" style="41"/>
    <col min="16" max="16384" width="9.140625" style="39"/>
  </cols>
  <sheetData>
    <row r="1" spans="2:44" ht="6.75" customHeight="1" x14ac:dyDescent="0.2"/>
    <row r="3" spans="2:44" x14ac:dyDescent="0.2">
      <c r="J3" s="41"/>
      <c r="K3" s="41"/>
      <c r="L3" s="41"/>
      <c r="M3" s="41"/>
      <c r="P3" s="41"/>
      <c r="Q3" s="41"/>
      <c r="R3" s="41"/>
      <c r="S3" s="41"/>
      <c r="T3" s="41"/>
      <c r="U3" s="41"/>
      <c r="V3" s="41"/>
      <c r="W3" s="41"/>
      <c r="X3" s="41"/>
      <c r="Y3" s="41"/>
      <c r="Z3" s="41"/>
      <c r="AA3" s="41"/>
      <c r="AB3" s="41"/>
      <c r="AC3" s="41"/>
      <c r="AD3" s="42"/>
      <c r="AE3" s="42"/>
      <c r="AF3" s="42"/>
      <c r="AG3" s="42"/>
      <c r="AH3" s="42"/>
      <c r="AI3" s="42"/>
      <c r="AJ3" s="42"/>
      <c r="AK3" s="42"/>
      <c r="AL3" s="42"/>
      <c r="AM3" s="42"/>
      <c r="AN3" s="42"/>
      <c r="AO3" s="42"/>
      <c r="AP3" s="42"/>
      <c r="AQ3" s="42"/>
      <c r="AR3" s="42"/>
    </row>
    <row r="4" spans="2:44" x14ac:dyDescent="0.2">
      <c r="J4" s="41"/>
      <c r="K4" s="41"/>
      <c r="L4" s="41"/>
      <c r="M4" s="41"/>
      <c r="P4" s="41"/>
      <c r="Q4" s="41"/>
      <c r="R4" s="41"/>
      <c r="S4" s="41"/>
      <c r="T4" s="41"/>
      <c r="U4" s="41"/>
      <c r="V4" s="41"/>
      <c r="W4" s="41"/>
      <c r="X4" s="41"/>
      <c r="Y4" s="41"/>
      <c r="Z4" s="41"/>
      <c r="AA4" s="41"/>
      <c r="AB4" s="41"/>
      <c r="AC4" s="41"/>
      <c r="AD4" s="42"/>
      <c r="AE4" s="42"/>
      <c r="AF4" s="42"/>
      <c r="AG4" s="42"/>
      <c r="AH4" s="42"/>
      <c r="AI4" s="42"/>
      <c r="AJ4" s="42"/>
      <c r="AK4" s="42"/>
      <c r="AL4" s="42"/>
      <c r="AM4" s="42"/>
      <c r="AN4" s="42"/>
      <c r="AO4" s="42"/>
      <c r="AP4" s="42"/>
      <c r="AQ4" s="42"/>
      <c r="AR4" s="42"/>
    </row>
    <row r="5" spans="2:44" ht="39" customHeight="1" x14ac:dyDescent="0.25">
      <c r="C5" s="107" t="s">
        <v>134</v>
      </c>
      <c r="D5" s="107"/>
      <c r="E5" s="107"/>
      <c r="F5" s="107"/>
      <c r="G5" s="107"/>
      <c r="H5" s="43"/>
      <c r="I5" s="43"/>
      <c r="J5" s="44"/>
      <c r="K5" s="44"/>
      <c r="L5" s="41"/>
      <c r="M5" s="41"/>
      <c r="P5" s="41"/>
      <c r="Q5" s="41"/>
      <c r="R5" s="41"/>
      <c r="S5" s="41"/>
      <c r="T5" s="41"/>
      <c r="U5" s="41"/>
      <c r="V5" s="41"/>
      <c r="W5" s="41"/>
      <c r="X5" s="41"/>
      <c r="Y5" s="41"/>
      <c r="Z5" s="41"/>
      <c r="AA5" s="41"/>
      <c r="AB5" s="41"/>
      <c r="AC5" s="41"/>
      <c r="AD5" s="42"/>
      <c r="AE5" s="42"/>
      <c r="AF5" s="42"/>
      <c r="AG5" s="42"/>
      <c r="AH5" s="42"/>
      <c r="AI5" s="42"/>
      <c r="AJ5" s="42"/>
      <c r="AK5" s="42"/>
      <c r="AL5" s="42"/>
      <c r="AM5" s="42"/>
      <c r="AN5" s="42"/>
      <c r="AO5" s="42"/>
      <c r="AP5" s="42"/>
      <c r="AQ5" s="42"/>
      <c r="AR5" s="42"/>
    </row>
    <row r="6" spans="2:44" ht="12.75" customHeight="1" x14ac:dyDescent="0.2">
      <c r="C6" s="108"/>
      <c r="D6" s="108"/>
      <c r="E6" s="108"/>
      <c r="F6" s="108"/>
      <c r="G6" s="108"/>
      <c r="H6" s="43"/>
      <c r="I6" s="43"/>
      <c r="J6" s="44"/>
      <c r="K6" s="44"/>
      <c r="L6" s="41"/>
      <c r="M6" s="41"/>
      <c r="P6" s="41"/>
      <c r="Q6" s="41"/>
      <c r="R6" s="41"/>
      <c r="S6" s="41"/>
      <c r="T6" s="41"/>
      <c r="U6" s="41"/>
      <c r="V6" s="41"/>
      <c r="W6" s="41"/>
      <c r="X6" s="41"/>
      <c r="Y6" s="41"/>
      <c r="Z6" s="41"/>
      <c r="AA6" s="41"/>
      <c r="AB6" s="41"/>
      <c r="AC6" s="41"/>
      <c r="AD6" s="42"/>
      <c r="AE6" s="42"/>
      <c r="AF6" s="42"/>
      <c r="AG6" s="42"/>
      <c r="AH6" s="42"/>
      <c r="AI6" s="42"/>
      <c r="AJ6" s="42"/>
      <c r="AK6" s="42"/>
      <c r="AL6" s="42"/>
      <c r="AM6" s="42"/>
      <c r="AN6" s="42"/>
      <c r="AO6" s="42"/>
      <c r="AP6" s="42"/>
      <c r="AQ6" s="42"/>
      <c r="AR6" s="42"/>
    </row>
    <row r="7" spans="2:44" ht="1.5" customHeight="1" x14ac:dyDescent="0.2">
      <c r="J7" s="41"/>
      <c r="K7" s="41"/>
      <c r="L7" s="41"/>
      <c r="M7" s="41" t="s">
        <v>46</v>
      </c>
      <c r="P7" s="41"/>
      <c r="Q7" s="41"/>
      <c r="R7" s="41"/>
      <c r="S7" s="41"/>
      <c r="T7" s="41"/>
      <c r="U7" s="41"/>
      <c r="V7" s="41"/>
      <c r="W7" s="41"/>
      <c r="X7" s="41"/>
      <c r="Y7" s="41"/>
      <c r="Z7" s="41"/>
      <c r="AA7" s="41"/>
      <c r="AB7" s="41"/>
      <c r="AC7" s="41"/>
      <c r="AD7" s="42"/>
      <c r="AE7" s="42"/>
      <c r="AF7" s="42"/>
      <c r="AG7" s="42"/>
      <c r="AH7" s="42"/>
      <c r="AI7" s="42"/>
      <c r="AJ7" s="42"/>
      <c r="AK7" s="42"/>
      <c r="AL7" s="42"/>
      <c r="AM7" s="42"/>
      <c r="AN7" s="42"/>
      <c r="AO7" s="42"/>
      <c r="AP7" s="42"/>
      <c r="AQ7" s="42"/>
      <c r="AR7" s="42"/>
    </row>
    <row r="8" spans="2:44" s="45" customFormat="1" ht="15" x14ac:dyDescent="0.25">
      <c r="C8" s="46"/>
      <c r="D8" s="46"/>
      <c r="E8" s="46"/>
      <c r="F8" s="46"/>
      <c r="G8" s="46" t="s">
        <v>156</v>
      </c>
      <c r="J8" s="4"/>
      <c r="K8" s="4"/>
      <c r="L8" s="4"/>
      <c r="M8" s="4">
        <v>1</v>
      </c>
      <c r="N8" s="4"/>
      <c r="O8" s="4"/>
      <c r="P8" s="3"/>
      <c r="Q8" s="35"/>
      <c r="R8" s="4"/>
      <c r="S8" s="4"/>
      <c r="T8" s="4"/>
      <c r="U8" s="4"/>
      <c r="V8" s="4"/>
      <c r="W8" s="4"/>
      <c r="X8" s="4"/>
      <c r="Y8" s="4"/>
      <c r="Z8" s="4"/>
      <c r="AA8" s="4"/>
      <c r="AB8" s="4"/>
      <c r="AC8" s="4"/>
      <c r="AD8" s="34"/>
      <c r="AE8" s="34"/>
      <c r="AF8" s="34"/>
      <c r="AG8" s="34"/>
      <c r="AH8" s="34"/>
      <c r="AI8" s="34"/>
      <c r="AJ8" s="34"/>
      <c r="AK8" s="34"/>
      <c r="AL8" s="34"/>
      <c r="AM8" s="34"/>
      <c r="AN8" s="34"/>
      <c r="AO8" s="34"/>
      <c r="AP8" s="34"/>
      <c r="AQ8" s="34"/>
      <c r="AR8" s="34"/>
    </row>
    <row r="9" spans="2:44" s="47" customFormat="1" ht="5.25" customHeight="1" x14ac:dyDescent="0.25">
      <c r="C9" s="14"/>
      <c r="E9" s="61"/>
      <c r="J9" s="35"/>
      <c r="K9" s="35"/>
      <c r="L9" s="36"/>
      <c r="M9" s="35">
        <v>3</v>
      </c>
      <c r="N9" s="35"/>
      <c r="O9" s="35"/>
      <c r="P9" s="36"/>
      <c r="Q9" s="36"/>
      <c r="R9" s="36"/>
      <c r="S9" s="35"/>
      <c r="T9" s="35"/>
      <c r="U9" s="35"/>
      <c r="V9" s="35"/>
      <c r="W9" s="35"/>
      <c r="X9" s="35"/>
      <c r="Y9" s="35"/>
      <c r="Z9" s="35"/>
      <c r="AA9" s="35"/>
      <c r="AB9" s="35"/>
      <c r="AC9" s="35"/>
      <c r="AD9" s="36"/>
      <c r="AE9" s="36"/>
      <c r="AF9" s="36"/>
      <c r="AG9" s="36"/>
      <c r="AH9" s="36"/>
      <c r="AI9" s="36"/>
      <c r="AJ9" s="36"/>
      <c r="AK9" s="36"/>
      <c r="AL9" s="36"/>
      <c r="AM9" s="36"/>
      <c r="AN9" s="36"/>
      <c r="AO9" s="36"/>
      <c r="AP9" s="36"/>
      <c r="AQ9" s="36"/>
      <c r="AR9" s="36"/>
    </row>
    <row r="10" spans="2:44" s="45" customFormat="1" ht="15" x14ac:dyDescent="0.25">
      <c r="C10" s="46" t="s">
        <v>5</v>
      </c>
      <c r="D10" s="46"/>
      <c r="E10" s="62"/>
      <c r="F10" s="46"/>
      <c r="G10" s="48"/>
      <c r="J10" s="4"/>
      <c r="K10" s="4"/>
      <c r="L10" s="34"/>
      <c r="M10" s="4">
        <v>4</v>
      </c>
      <c r="N10" s="4"/>
      <c r="O10" s="4"/>
      <c r="P10" s="34"/>
      <c r="Q10" s="34"/>
      <c r="R10" s="34"/>
      <c r="S10" s="4"/>
      <c r="T10" s="4"/>
      <c r="U10" s="4"/>
      <c r="V10" s="4"/>
      <c r="W10" s="4"/>
      <c r="X10" s="4"/>
      <c r="Y10" s="4"/>
      <c r="Z10" s="4"/>
      <c r="AA10" s="4"/>
      <c r="AB10" s="4"/>
      <c r="AC10" s="4"/>
      <c r="AD10" s="34"/>
      <c r="AE10" s="34"/>
      <c r="AF10" s="34"/>
      <c r="AG10" s="34"/>
      <c r="AH10" s="34"/>
      <c r="AI10" s="34"/>
      <c r="AJ10" s="34"/>
      <c r="AK10" s="34"/>
      <c r="AL10" s="34"/>
      <c r="AM10" s="34"/>
      <c r="AN10" s="34"/>
      <c r="AO10" s="34"/>
      <c r="AP10" s="34"/>
      <c r="AQ10" s="34"/>
      <c r="AR10" s="34"/>
    </row>
    <row r="11" spans="2:44" s="45" customFormat="1" ht="15" x14ac:dyDescent="0.25">
      <c r="C11" s="104" t="s">
        <v>53</v>
      </c>
      <c r="D11" s="104"/>
      <c r="E11" s="66" t="s">
        <v>135</v>
      </c>
      <c r="F11" s="49"/>
      <c r="G11" s="48"/>
      <c r="J11" s="4"/>
      <c r="K11" s="4"/>
      <c r="L11" s="34"/>
      <c r="M11" s="4">
        <v>5</v>
      </c>
      <c r="N11" s="4" t="s">
        <v>16</v>
      </c>
      <c r="O11" s="4">
        <v>52</v>
      </c>
      <c r="P11" s="34"/>
      <c r="Q11" s="34"/>
      <c r="R11" s="34"/>
      <c r="S11" s="4"/>
      <c r="T11" s="4"/>
      <c r="U11" s="4"/>
      <c r="V11" s="4"/>
      <c r="W11" s="4"/>
      <c r="X11" s="4"/>
      <c r="Y11" s="4"/>
      <c r="Z11" s="4"/>
      <c r="AA11" s="4"/>
      <c r="AB11" s="4"/>
      <c r="AC11" s="4"/>
      <c r="AD11" s="34"/>
      <c r="AE11" s="34"/>
      <c r="AF11" s="34"/>
      <c r="AG11" s="34"/>
      <c r="AH11" s="34"/>
      <c r="AI11" s="34"/>
      <c r="AJ11" s="34"/>
      <c r="AK11" s="34"/>
      <c r="AL11" s="34"/>
      <c r="AM11" s="34"/>
      <c r="AN11" s="34"/>
      <c r="AO11" s="34"/>
      <c r="AP11" s="34"/>
      <c r="AQ11" s="34"/>
      <c r="AR11" s="34"/>
    </row>
    <row r="12" spans="2:44" s="45" customFormat="1" ht="15" x14ac:dyDescent="0.25">
      <c r="B12" s="34"/>
      <c r="C12" s="104" t="s">
        <v>50</v>
      </c>
      <c r="D12" s="104"/>
      <c r="E12" s="66" t="s">
        <v>137</v>
      </c>
      <c r="F12" s="50"/>
      <c r="G12" s="51"/>
      <c r="J12" s="4"/>
      <c r="K12" s="4"/>
      <c r="L12" s="34"/>
      <c r="M12" s="4">
        <v>6</v>
      </c>
      <c r="N12" s="4" t="s">
        <v>17</v>
      </c>
      <c r="O12" s="4">
        <v>26</v>
      </c>
      <c r="P12" s="34"/>
      <c r="Q12" s="34"/>
      <c r="R12" s="34"/>
      <c r="S12" s="4"/>
      <c r="T12" s="4"/>
      <c r="U12" s="4"/>
      <c r="V12" s="4"/>
      <c r="W12" s="4"/>
      <c r="X12" s="4"/>
      <c r="Y12" s="4"/>
      <c r="Z12" s="4"/>
      <c r="AA12" s="4"/>
      <c r="AB12" s="4"/>
      <c r="AC12" s="4"/>
      <c r="AD12" s="34"/>
      <c r="AE12" s="34"/>
      <c r="AF12" s="34"/>
      <c r="AG12" s="34"/>
      <c r="AH12" s="34"/>
      <c r="AI12" s="34"/>
      <c r="AJ12" s="34"/>
      <c r="AK12" s="34"/>
      <c r="AL12" s="34"/>
      <c r="AM12" s="34"/>
      <c r="AN12" s="34"/>
      <c r="AO12" s="34"/>
      <c r="AP12" s="34"/>
      <c r="AQ12" s="34"/>
      <c r="AR12" s="34"/>
    </row>
    <row r="13" spans="2:44" s="45" customFormat="1" ht="15" x14ac:dyDescent="0.25">
      <c r="C13" s="104" t="s">
        <v>45</v>
      </c>
      <c r="D13" s="104"/>
      <c r="E13" s="63"/>
      <c r="F13" s="37">
        <f>MAX(F14+2%,5.25%)</f>
        <v>7.0000000000000007E-2</v>
      </c>
      <c r="G13" s="2"/>
      <c r="J13" s="4"/>
      <c r="K13" s="4"/>
      <c r="L13" s="34"/>
      <c r="M13" s="4">
        <v>7</v>
      </c>
      <c r="N13" s="4" t="s">
        <v>18</v>
      </c>
      <c r="O13" s="4">
        <v>12</v>
      </c>
      <c r="P13" s="34"/>
      <c r="Q13" s="34"/>
      <c r="R13" s="34"/>
      <c r="S13" s="4"/>
      <c r="T13" s="4"/>
      <c r="U13" s="4"/>
      <c r="V13" s="4"/>
      <c r="W13" s="4"/>
      <c r="X13" s="4"/>
      <c r="Y13" s="4"/>
      <c r="Z13" s="4"/>
      <c r="AA13" s="4"/>
      <c r="AB13" s="4"/>
      <c r="AC13" s="4"/>
      <c r="AD13" s="34"/>
      <c r="AE13" s="34"/>
      <c r="AF13" s="34"/>
      <c r="AG13" s="34"/>
      <c r="AH13" s="34"/>
      <c r="AI13" s="34"/>
      <c r="AJ13" s="34"/>
      <c r="AK13" s="34"/>
      <c r="AL13" s="34"/>
      <c r="AM13" s="34"/>
      <c r="AN13" s="34"/>
      <c r="AO13" s="34"/>
      <c r="AP13" s="34"/>
      <c r="AQ13" s="34"/>
      <c r="AR13" s="34"/>
    </row>
    <row r="14" spans="2:44" s="45" customFormat="1" ht="15" x14ac:dyDescent="0.25">
      <c r="C14" s="104" t="s">
        <v>49</v>
      </c>
      <c r="D14" s="104"/>
      <c r="E14" s="66" t="s">
        <v>136</v>
      </c>
      <c r="F14" s="52">
        <v>0.05</v>
      </c>
      <c r="G14" s="48"/>
      <c r="J14" s="4"/>
      <c r="K14" s="4"/>
      <c r="L14" s="34"/>
      <c r="M14" s="4">
        <v>8</v>
      </c>
      <c r="N14" s="4" t="s">
        <v>19</v>
      </c>
      <c r="O14" s="4">
        <v>1</v>
      </c>
      <c r="P14" s="34"/>
      <c r="Q14" s="34"/>
      <c r="R14" s="34"/>
      <c r="S14" s="4"/>
      <c r="T14" s="4"/>
      <c r="U14" s="4"/>
      <c r="V14" s="4"/>
      <c r="W14" s="4"/>
      <c r="X14" s="4"/>
      <c r="Y14" s="4"/>
      <c r="Z14" s="4"/>
      <c r="AA14" s="4"/>
      <c r="AB14" s="4"/>
      <c r="AC14" s="4"/>
      <c r="AD14" s="34"/>
      <c r="AE14" s="34"/>
      <c r="AF14" s="34"/>
      <c r="AG14" s="34"/>
      <c r="AH14" s="34"/>
      <c r="AI14" s="34"/>
      <c r="AJ14" s="34"/>
      <c r="AK14" s="34"/>
      <c r="AL14" s="34"/>
      <c r="AM14" s="34"/>
      <c r="AN14" s="34"/>
      <c r="AO14" s="34"/>
      <c r="AP14" s="34"/>
      <c r="AQ14" s="34"/>
      <c r="AR14" s="34"/>
    </row>
    <row r="15" spans="2:44" s="45" customFormat="1" ht="15" x14ac:dyDescent="0.25">
      <c r="C15" s="104" t="s">
        <v>51</v>
      </c>
      <c r="D15" s="104"/>
      <c r="E15" s="66" t="s">
        <v>143</v>
      </c>
      <c r="F15" s="53"/>
      <c r="G15" s="48"/>
      <c r="J15" s="4"/>
      <c r="K15" s="4"/>
      <c r="L15" s="34"/>
      <c r="M15" s="4">
        <v>9</v>
      </c>
      <c r="N15" s="4"/>
      <c r="O15" s="4"/>
      <c r="P15" s="34"/>
      <c r="Q15" s="34"/>
      <c r="R15" s="34"/>
      <c r="S15" s="4"/>
      <c r="T15" s="4"/>
      <c r="U15" s="4"/>
      <c r="V15" s="4"/>
      <c r="W15" s="4"/>
      <c r="X15" s="4"/>
      <c r="Y15" s="4"/>
      <c r="Z15" s="4"/>
      <c r="AA15" s="4"/>
      <c r="AB15" s="4"/>
      <c r="AC15" s="4"/>
      <c r="AD15" s="34"/>
      <c r="AE15" s="34"/>
      <c r="AF15" s="34"/>
      <c r="AG15" s="34"/>
      <c r="AH15" s="34"/>
      <c r="AI15" s="34"/>
      <c r="AJ15" s="34"/>
      <c r="AK15" s="34"/>
      <c r="AL15" s="34"/>
      <c r="AM15" s="34"/>
      <c r="AN15" s="34"/>
      <c r="AO15" s="34"/>
      <c r="AP15" s="34"/>
      <c r="AQ15" s="34"/>
      <c r="AR15" s="34"/>
    </row>
    <row r="16" spans="2:44" s="45" customFormat="1" ht="15" x14ac:dyDescent="0.25">
      <c r="C16" s="104" t="s">
        <v>46</v>
      </c>
      <c r="D16" s="104"/>
      <c r="E16" s="66" t="s">
        <v>144</v>
      </c>
      <c r="F16" s="53"/>
      <c r="G16" s="48"/>
      <c r="J16" s="4"/>
      <c r="K16" s="4"/>
      <c r="L16" s="34"/>
      <c r="M16" s="4">
        <v>10</v>
      </c>
      <c r="N16" s="4"/>
      <c r="O16" s="4"/>
      <c r="P16" s="34"/>
      <c r="Q16" s="34"/>
      <c r="R16" s="34"/>
      <c r="S16" s="4"/>
      <c r="T16" s="4"/>
      <c r="U16" s="4"/>
      <c r="V16" s="4"/>
      <c r="W16" s="4"/>
      <c r="X16" s="4"/>
      <c r="Y16" s="4"/>
      <c r="Z16" s="4"/>
      <c r="AA16" s="4"/>
      <c r="AB16" s="4"/>
      <c r="AC16" s="4"/>
      <c r="AD16" s="34"/>
      <c r="AE16" s="34"/>
      <c r="AF16" s="34"/>
      <c r="AG16" s="34"/>
      <c r="AH16" s="34"/>
      <c r="AI16" s="34"/>
      <c r="AJ16" s="34"/>
      <c r="AK16" s="34"/>
      <c r="AL16" s="34"/>
      <c r="AM16" s="34"/>
      <c r="AN16" s="34"/>
      <c r="AO16" s="34"/>
      <c r="AP16" s="34"/>
      <c r="AQ16" s="34"/>
      <c r="AR16" s="34"/>
    </row>
    <row r="17" spans="2:44" s="45" customFormat="1" ht="15" x14ac:dyDescent="0.25">
      <c r="E17" s="58"/>
      <c r="F17" s="48"/>
      <c r="G17" s="48"/>
      <c r="J17" s="4"/>
      <c r="K17" s="4"/>
      <c r="L17" s="34"/>
      <c r="M17" s="34"/>
      <c r="N17" s="34"/>
      <c r="O17" s="34"/>
      <c r="P17" s="34"/>
      <c r="Q17" s="34"/>
      <c r="R17" s="34"/>
      <c r="S17" s="4"/>
      <c r="T17" s="4"/>
      <c r="U17" s="4"/>
      <c r="V17" s="4"/>
      <c r="W17" s="4"/>
      <c r="X17" s="4"/>
      <c r="Y17" s="4"/>
      <c r="Z17" s="4"/>
      <c r="AA17" s="4"/>
      <c r="AB17" s="4"/>
      <c r="AC17" s="4"/>
      <c r="AD17" s="34"/>
      <c r="AE17" s="34"/>
      <c r="AF17" s="34"/>
      <c r="AG17" s="34"/>
      <c r="AH17" s="34"/>
      <c r="AI17" s="34"/>
      <c r="AJ17" s="34"/>
      <c r="AK17" s="34"/>
      <c r="AL17" s="34"/>
      <c r="AM17" s="34"/>
      <c r="AN17" s="34"/>
      <c r="AO17" s="34"/>
      <c r="AP17" s="34"/>
      <c r="AQ17" s="34"/>
      <c r="AR17" s="34"/>
    </row>
    <row r="18" spans="2:44" s="45" customFormat="1" ht="15" x14ac:dyDescent="0.25">
      <c r="C18" s="46" t="s">
        <v>6</v>
      </c>
      <c r="D18" s="54" t="s">
        <v>26</v>
      </c>
      <c r="E18" s="64"/>
      <c r="F18" s="54" t="s">
        <v>140</v>
      </c>
      <c r="G18" s="54" t="s">
        <v>15</v>
      </c>
      <c r="J18" s="4"/>
      <c r="K18" s="4"/>
      <c r="L18" s="34"/>
      <c r="M18" s="34"/>
      <c r="N18" s="34"/>
      <c r="O18" s="34"/>
      <c r="P18" s="34"/>
      <c r="Q18" s="34"/>
      <c r="R18" s="34"/>
      <c r="S18" s="4"/>
      <c r="T18" s="4"/>
      <c r="U18" s="4"/>
      <c r="V18" s="4"/>
      <c r="W18" s="4"/>
      <c r="X18" s="4"/>
      <c r="Y18" s="4"/>
      <c r="Z18" s="4"/>
      <c r="AA18" s="4"/>
      <c r="AB18" s="4"/>
      <c r="AC18" s="4"/>
      <c r="AD18" s="34"/>
      <c r="AE18" s="34"/>
      <c r="AF18" s="34"/>
      <c r="AG18" s="34"/>
      <c r="AH18" s="34"/>
      <c r="AI18" s="34"/>
      <c r="AJ18" s="34"/>
      <c r="AK18" s="34"/>
      <c r="AL18" s="34"/>
      <c r="AM18" s="34"/>
      <c r="AN18" s="34"/>
      <c r="AO18" s="34"/>
      <c r="AP18" s="34"/>
      <c r="AQ18" s="34"/>
      <c r="AR18" s="34"/>
    </row>
    <row r="19" spans="2:44" s="45" customFormat="1" ht="15" x14ac:dyDescent="0.25">
      <c r="C19" s="45" t="s">
        <v>145</v>
      </c>
      <c r="D19" s="55"/>
      <c r="E19" s="65"/>
      <c r="F19" s="50"/>
      <c r="G19" s="51">
        <f>IF(AND(D19&lt;&gt;"",F19&gt;0),(F19*(VLOOKUP(D19,$N$11:$O$14,2,0))),0)</f>
        <v>0</v>
      </c>
      <c r="J19" s="4"/>
      <c r="K19" s="4"/>
      <c r="L19" s="34"/>
      <c r="M19" s="34"/>
      <c r="N19" s="34"/>
      <c r="O19" s="34"/>
      <c r="P19" s="34"/>
      <c r="Q19" s="34"/>
      <c r="R19" s="34"/>
      <c r="S19" s="4"/>
      <c r="T19" s="4"/>
      <c r="U19" s="4"/>
      <c r="V19" s="4"/>
      <c r="W19" s="4"/>
      <c r="X19" s="4"/>
      <c r="Y19" s="4"/>
      <c r="Z19" s="4"/>
      <c r="AA19" s="4"/>
      <c r="AB19" s="4"/>
      <c r="AC19" s="4"/>
      <c r="AD19" s="34"/>
      <c r="AE19" s="34"/>
      <c r="AF19" s="34"/>
      <c r="AG19" s="34"/>
      <c r="AH19" s="34"/>
      <c r="AI19" s="34"/>
      <c r="AJ19" s="34"/>
      <c r="AK19" s="34"/>
      <c r="AL19" s="34"/>
      <c r="AM19" s="34"/>
      <c r="AN19" s="34"/>
      <c r="AO19" s="34"/>
      <c r="AP19" s="34"/>
      <c r="AQ19" s="34"/>
      <c r="AR19" s="34"/>
    </row>
    <row r="20" spans="2:44" s="45" customFormat="1" ht="15" x14ac:dyDescent="0.25">
      <c r="B20" s="34"/>
      <c r="C20" s="104" t="s">
        <v>155</v>
      </c>
      <c r="D20" s="104"/>
      <c r="E20" s="100" t="str">
        <f>IF(AND(G19&gt;0,F20=""),"*Mandatory Field","")</f>
        <v/>
      </c>
      <c r="F20" s="50"/>
      <c r="G20" s="51">
        <f>ABS(PMT(F13/12,25*12,F20))*12</f>
        <v>0</v>
      </c>
      <c r="J20" s="4"/>
      <c r="K20" s="38">
        <f>MAX(G19,G20)</f>
        <v>0</v>
      </c>
      <c r="L20" s="34"/>
      <c r="M20" s="34"/>
      <c r="N20" s="34"/>
      <c r="O20" s="34"/>
      <c r="P20" s="34"/>
      <c r="Q20" s="34"/>
      <c r="R20" s="34"/>
      <c r="S20" s="4"/>
      <c r="T20" s="4"/>
      <c r="U20" s="4"/>
      <c r="V20" s="4"/>
      <c r="W20" s="4"/>
      <c r="X20" s="4"/>
      <c r="Y20" s="4"/>
      <c r="Z20" s="4"/>
      <c r="AA20" s="4"/>
      <c r="AB20" s="4"/>
      <c r="AC20" s="4"/>
      <c r="AD20" s="34"/>
      <c r="AE20" s="34"/>
      <c r="AF20" s="34"/>
      <c r="AG20" s="34"/>
      <c r="AH20" s="34"/>
      <c r="AI20" s="34"/>
      <c r="AJ20" s="34"/>
      <c r="AK20" s="34"/>
      <c r="AL20" s="34"/>
      <c r="AM20" s="34"/>
      <c r="AN20" s="34"/>
      <c r="AO20" s="34"/>
      <c r="AP20" s="34"/>
      <c r="AQ20" s="34"/>
      <c r="AR20" s="34"/>
    </row>
    <row r="21" spans="2:44" s="45" customFormat="1" ht="15" x14ac:dyDescent="0.25">
      <c r="C21" s="45" t="s">
        <v>52</v>
      </c>
      <c r="D21" s="55"/>
      <c r="E21" s="65"/>
      <c r="F21" s="50"/>
      <c r="G21" s="51">
        <f>IF(AND(D21&lt;&gt;"",F21&gt;0),(F21*(VLOOKUP(D21,$N$11:$O$14,2,0))),0)</f>
        <v>0</v>
      </c>
      <c r="J21" s="4"/>
      <c r="K21" s="4"/>
      <c r="L21" s="34"/>
      <c r="M21" s="34"/>
      <c r="N21" s="34"/>
      <c r="O21" s="34"/>
      <c r="P21" s="34"/>
      <c r="Q21" s="34"/>
      <c r="R21" s="34"/>
      <c r="S21" s="4"/>
      <c r="T21" s="4"/>
      <c r="U21" s="4"/>
      <c r="V21" s="4"/>
      <c r="W21" s="4"/>
      <c r="X21" s="4"/>
      <c r="Y21" s="4"/>
      <c r="Z21" s="4"/>
      <c r="AA21" s="4"/>
      <c r="AB21" s="4"/>
      <c r="AC21" s="4"/>
      <c r="AD21" s="34"/>
      <c r="AE21" s="34"/>
      <c r="AF21" s="34"/>
      <c r="AG21" s="34"/>
      <c r="AH21" s="34"/>
      <c r="AI21" s="34"/>
      <c r="AJ21" s="34"/>
      <c r="AK21" s="34"/>
      <c r="AL21" s="34"/>
      <c r="AM21" s="34"/>
      <c r="AN21" s="34"/>
      <c r="AO21" s="34"/>
      <c r="AP21" s="34"/>
      <c r="AQ21" s="34"/>
      <c r="AR21" s="34"/>
    </row>
    <row r="22" spans="2:44" s="45" customFormat="1" ht="15" x14ac:dyDescent="0.25">
      <c r="B22" s="56"/>
      <c r="E22" s="58"/>
      <c r="F22" s="48"/>
      <c r="G22" s="48"/>
      <c r="J22" s="4"/>
      <c r="K22" s="4"/>
      <c r="L22" s="34"/>
      <c r="M22" s="34"/>
      <c r="N22" s="34"/>
      <c r="O22" s="34"/>
      <c r="P22" s="34"/>
      <c r="Q22" s="34"/>
      <c r="R22" s="34"/>
      <c r="S22" s="4"/>
      <c r="T22" s="4"/>
      <c r="U22" s="4"/>
      <c r="V22" s="4"/>
      <c r="W22" s="4"/>
      <c r="X22" s="4"/>
      <c r="Y22" s="4"/>
      <c r="Z22" s="4"/>
      <c r="AA22" s="4"/>
      <c r="AB22" s="4"/>
      <c r="AC22" s="4"/>
      <c r="AD22" s="34"/>
      <c r="AE22" s="34"/>
      <c r="AF22" s="34"/>
      <c r="AG22" s="34"/>
      <c r="AH22" s="34"/>
      <c r="AI22" s="34"/>
      <c r="AJ22" s="34"/>
      <c r="AK22" s="34"/>
      <c r="AL22" s="34"/>
      <c r="AM22" s="34"/>
      <c r="AN22" s="34"/>
      <c r="AO22" s="34"/>
      <c r="AP22" s="34"/>
      <c r="AQ22" s="34"/>
      <c r="AR22" s="34"/>
    </row>
    <row r="23" spans="2:44" s="45" customFormat="1" ht="15" x14ac:dyDescent="0.25">
      <c r="C23" s="46" t="s">
        <v>8</v>
      </c>
      <c r="D23" s="54"/>
      <c r="E23" s="64"/>
      <c r="F23" s="54"/>
      <c r="G23" s="54" t="s">
        <v>14</v>
      </c>
      <c r="J23" s="4"/>
      <c r="K23" s="4"/>
      <c r="L23" s="34"/>
      <c r="M23" s="34"/>
      <c r="N23" s="34"/>
      <c r="O23" s="34"/>
      <c r="P23" s="34"/>
      <c r="Q23" s="34"/>
      <c r="R23" s="34"/>
      <c r="S23" s="4"/>
      <c r="T23" s="4"/>
      <c r="U23" s="4"/>
      <c r="V23" s="4"/>
      <c r="W23" s="4"/>
      <c r="X23" s="4"/>
      <c r="Y23" s="4"/>
      <c r="Z23" s="4"/>
      <c r="AA23" s="4"/>
      <c r="AB23" s="4"/>
      <c r="AC23" s="4"/>
      <c r="AD23" s="34"/>
      <c r="AE23" s="34"/>
      <c r="AF23" s="34"/>
      <c r="AG23" s="34"/>
      <c r="AH23" s="34"/>
      <c r="AI23" s="34"/>
      <c r="AJ23" s="34"/>
      <c r="AK23" s="34"/>
      <c r="AL23" s="34"/>
      <c r="AM23" s="34"/>
      <c r="AN23" s="34"/>
      <c r="AO23" s="34"/>
      <c r="AP23" s="34"/>
      <c r="AQ23" s="34"/>
      <c r="AR23" s="34"/>
    </row>
    <row r="24" spans="2:44" s="45" customFormat="1" ht="15" x14ac:dyDescent="0.25">
      <c r="C24" s="57" t="s">
        <v>0</v>
      </c>
      <c r="D24" s="55"/>
      <c r="E24" s="65"/>
      <c r="F24" s="50"/>
      <c r="G24" s="51">
        <f>IF(AND(D24&lt;&gt;"",F24&gt;0),(F24*(VLOOKUP(D24,$N$11:$O$14,2,0))),0)</f>
        <v>0</v>
      </c>
      <c r="J24" s="4"/>
      <c r="K24" s="4"/>
      <c r="L24" s="34"/>
      <c r="M24" s="34"/>
      <c r="N24" s="34"/>
      <c r="O24" s="34"/>
      <c r="P24" s="34"/>
      <c r="Q24" s="34"/>
      <c r="R24" s="34"/>
      <c r="S24" s="4"/>
      <c r="T24" s="4"/>
      <c r="U24" s="4"/>
      <c r="V24" s="4"/>
      <c r="W24" s="4"/>
      <c r="X24" s="4"/>
      <c r="Y24" s="4"/>
      <c r="Z24" s="4"/>
      <c r="AA24" s="4"/>
      <c r="AB24" s="4"/>
      <c r="AC24" s="4"/>
      <c r="AD24" s="34"/>
      <c r="AE24" s="34"/>
      <c r="AF24" s="34"/>
      <c r="AG24" s="34"/>
      <c r="AH24" s="34"/>
      <c r="AI24" s="34"/>
      <c r="AJ24" s="34"/>
      <c r="AK24" s="34"/>
      <c r="AL24" s="34"/>
      <c r="AM24" s="34"/>
      <c r="AN24" s="34"/>
      <c r="AO24" s="34"/>
      <c r="AP24" s="34"/>
      <c r="AQ24" s="34"/>
      <c r="AR24" s="34"/>
    </row>
    <row r="25" spans="2:44" s="45" customFormat="1" ht="15" x14ac:dyDescent="0.25">
      <c r="C25" s="57" t="s">
        <v>38</v>
      </c>
      <c r="D25" s="55"/>
      <c r="E25" s="65"/>
      <c r="F25" s="50"/>
      <c r="G25" s="51">
        <f>IF(AND(D25&lt;&gt;"",F25&gt;0),(F25*(VLOOKUP(D25,$N$11:$O$14,2,0))),0)</f>
        <v>0</v>
      </c>
      <c r="J25" s="4"/>
      <c r="K25" s="4"/>
      <c r="L25" s="34"/>
      <c r="M25" s="34"/>
      <c r="N25" s="34"/>
      <c r="O25" s="34"/>
      <c r="P25" s="34"/>
      <c r="Q25" s="34"/>
      <c r="R25" s="34"/>
      <c r="S25" s="4"/>
      <c r="T25" s="4"/>
      <c r="U25" s="4"/>
      <c r="V25" s="4"/>
      <c r="W25" s="4"/>
      <c r="X25" s="4"/>
      <c r="Y25" s="4"/>
      <c r="Z25" s="4"/>
      <c r="AA25" s="4"/>
      <c r="AB25" s="4"/>
      <c r="AC25" s="4"/>
      <c r="AD25" s="34"/>
      <c r="AE25" s="34"/>
      <c r="AF25" s="34"/>
      <c r="AG25" s="34"/>
      <c r="AH25" s="34"/>
      <c r="AI25" s="34"/>
      <c r="AJ25" s="34"/>
      <c r="AK25" s="34"/>
      <c r="AL25" s="34"/>
      <c r="AM25" s="34"/>
      <c r="AN25" s="34"/>
      <c r="AO25" s="34"/>
      <c r="AP25" s="34"/>
      <c r="AQ25" s="34"/>
      <c r="AR25" s="34"/>
    </row>
    <row r="26" spans="2:44" s="45" customFormat="1" ht="15" x14ac:dyDescent="0.25">
      <c r="C26" s="58" t="s">
        <v>21</v>
      </c>
      <c r="D26" s="55"/>
      <c r="E26" s="65"/>
      <c r="F26" s="50"/>
      <c r="G26" s="51">
        <f>IF(AND(D26&lt;&gt;"",F26&gt;0),(80%*F26*(VLOOKUP(D26,$N$11:$O$14,2,0))),0)</f>
        <v>0</v>
      </c>
      <c r="J26" s="4"/>
      <c r="K26" s="4"/>
      <c r="L26" s="34"/>
      <c r="M26" s="34"/>
      <c r="N26" s="34"/>
      <c r="O26" s="34"/>
      <c r="P26" s="34"/>
      <c r="Q26" s="34"/>
      <c r="R26" s="34"/>
      <c r="S26" s="4"/>
      <c r="T26" s="4"/>
      <c r="U26" s="4"/>
      <c r="V26" s="4"/>
      <c r="W26" s="4"/>
      <c r="X26" s="4"/>
      <c r="Y26" s="4"/>
      <c r="Z26" s="4"/>
      <c r="AA26" s="4"/>
      <c r="AB26" s="4"/>
      <c r="AC26" s="4"/>
      <c r="AD26" s="34"/>
      <c r="AE26" s="34"/>
      <c r="AF26" s="34"/>
      <c r="AG26" s="34"/>
      <c r="AH26" s="34"/>
      <c r="AI26" s="34"/>
      <c r="AJ26" s="34"/>
      <c r="AK26" s="34"/>
      <c r="AL26" s="34"/>
      <c r="AM26" s="34"/>
      <c r="AN26" s="34"/>
      <c r="AO26" s="34"/>
      <c r="AP26" s="34"/>
      <c r="AQ26" s="34"/>
      <c r="AR26" s="34"/>
    </row>
    <row r="27" spans="2:44" s="45" customFormat="1" ht="15" x14ac:dyDescent="0.25">
      <c r="C27" s="58" t="s">
        <v>48</v>
      </c>
      <c r="D27" s="55"/>
      <c r="E27" s="65"/>
      <c r="F27" s="50"/>
      <c r="G27" s="51">
        <f>IF(AND(D27&lt;&gt;"",F27&gt;0),(F27*(VLOOKUP(D27,$N$11:$O$14,2,0))),0)</f>
        <v>0</v>
      </c>
      <c r="J27" s="4"/>
      <c r="K27" s="4"/>
      <c r="L27" s="34"/>
      <c r="M27" s="34"/>
      <c r="N27" s="34"/>
      <c r="O27" s="34"/>
      <c r="P27" s="34"/>
      <c r="Q27" s="34"/>
      <c r="R27" s="34"/>
      <c r="S27" s="4"/>
      <c r="T27" s="4"/>
      <c r="U27" s="4"/>
      <c r="V27" s="4"/>
      <c r="W27" s="4"/>
      <c r="X27" s="4"/>
      <c r="Y27" s="4"/>
      <c r="Z27" s="4"/>
      <c r="AA27" s="4"/>
      <c r="AB27" s="4"/>
      <c r="AC27" s="4"/>
      <c r="AD27" s="34"/>
      <c r="AE27" s="34"/>
      <c r="AF27" s="34"/>
      <c r="AG27" s="34"/>
      <c r="AH27" s="34"/>
      <c r="AI27" s="34"/>
      <c r="AJ27" s="34"/>
      <c r="AK27" s="34"/>
      <c r="AL27" s="34"/>
      <c r="AM27" s="34"/>
      <c r="AN27" s="34"/>
      <c r="AO27" s="34"/>
      <c r="AP27" s="34"/>
      <c r="AQ27" s="34"/>
      <c r="AR27" s="34"/>
    </row>
    <row r="28" spans="2:44" s="45" customFormat="1" ht="15" x14ac:dyDescent="0.25">
      <c r="C28" s="59" t="s">
        <v>20</v>
      </c>
      <c r="D28" s="55"/>
      <c r="E28" s="65"/>
      <c r="F28" s="50"/>
      <c r="G28" s="51">
        <f>IF(AND(D28&lt;&gt;"",F28&gt;0),(F28*(VLOOKUP(D28,$N$11:$O$14,2,0))),0)</f>
        <v>0</v>
      </c>
      <c r="J28" s="4"/>
      <c r="K28" s="4"/>
      <c r="L28" s="34"/>
      <c r="M28" s="34"/>
      <c r="N28" s="34"/>
      <c r="O28" s="34"/>
      <c r="P28" s="34"/>
      <c r="Q28" s="34"/>
      <c r="R28" s="34"/>
      <c r="S28" s="4"/>
      <c r="T28" s="4"/>
      <c r="U28" s="4"/>
      <c r="V28" s="4"/>
      <c r="W28" s="4"/>
      <c r="X28" s="4"/>
      <c r="Y28" s="4"/>
      <c r="Z28" s="4"/>
      <c r="AA28" s="4"/>
      <c r="AB28" s="4"/>
      <c r="AC28" s="4"/>
      <c r="AD28" s="34"/>
      <c r="AE28" s="34"/>
      <c r="AF28" s="34"/>
      <c r="AG28" s="34"/>
      <c r="AH28" s="34"/>
      <c r="AI28" s="34"/>
      <c r="AJ28" s="34"/>
      <c r="AK28" s="34"/>
      <c r="AL28" s="34"/>
      <c r="AM28" s="34"/>
      <c r="AN28" s="34"/>
      <c r="AO28" s="34"/>
      <c r="AP28" s="34"/>
      <c r="AQ28" s="34"/>
      <c r="AR28" s="34"/>
    </row>
    <row r="29" spans="2:44" s="45" customFormat="1" ht="15" x14ac:dyDescent="0.25">
      <c r="C29" s="104" t="s">
        <v>39</v>
      </c>
      <c r="D29" s="104"/>
      <c r="E29" s="104"/>
      <c r="F29" s="104"/>
      <c r="G29" s="51">
        <f>G24+G25+G26+G27</f>
        <v>0</v>
      </c>
      <c r="J29" s="4"/>
      <c r="K29" s="4"/>
      <c r="L29" s="34"/>
      <c r="M29" s="34"/>
      <c r="N29" s="34"/>
      <c r="O29" s="34"/>
      <c r="P29" s="34"/>
      <c r="Q29" s="34"/>
      <c r="R29" s="34"/>
      <c r="S29" s="4"/>
      <c r="T29" s="4"/>
      <c r="U29" s="4"/>
      <c r="V29" s="4"/>
      <c r="W29" s="4"/>
      <c r="X29" s="4"/>
      <c r="Y29" s="4"/>
      <c r="Z29" s="4"/>
      <c r="AA29" s="4"/>
      <c r="AB29" s="4"/>
      <c r="AC29" s="4"/>
      <c r="AD29" s="34"/>
      <c r="AE29" s="34"/>
      <c r="AF29" s="34"/>
      <c r="AG29" s="34"/>
      <c r="AH29" s="34"/>
      <c r="AI29" s="34"/>
      <c r="AJ29" s="34"/>
      <c r="AK29" s="34"/>
      <c r="AL29" s="34"/>
      <c r="AM29" s="34"/>
      <c r="AN29" s="34"/>
      <c r="AO29" s="34"/>
      <c r="AP29" s="34"/>
      <c r="AQ29" s="34"/>
      <c r="AR29" s="34"/>
    </row>
    <row r="30" spans="2:44" s="45" customFormat="1" ht="15" x14ac:dyDescent="0.25">
      <c r="C30" s="104" t="s">
        <v>42</v>
      </c>
      <c r="D30" s="104"/>
      <c r="E30" s="104"/>
      <c r="F30" s="104"/>
      <c r="G30" s="51">
        <f>IF(G29&gt;0,(F20+F12)*(F14),0)</f>
        <v>0</v>
      </c>
      <c r="J30" s="4"/>
      <c r="K30" s="4"/>
      <c r="L30" s="34"/>
      <c r="M30" s="34"/>
      <c r="N30" s="34"/>
      <c r="O30" s="34"/>
      <c r="P30" s="34"/>
      <c r="Q30" s="34"/>
      <c r="R30" s="34"/>
      <c r="S30" s="4"/>
      <c r="T30" s="4"/>
      <c r="U30" s="4"/>
      <c r="V30" s="4"/>
      <c r="W30" s="4"/>
      <c r="X30" s="4"/>
      <c r="Y30" s="4"/>
      <c r="Z30" s="4"/>
      <c r="AA30" s="4"/>
      <c r="AB30" s="4"/>
      <c r="AC30" s="4"/>
      <c r="AD30" s="34"/>
      <c r="AE30" s="34"/>
      <c r="AF30" s="34"/>
      <c r="AG30" s="34"/>
      <c r="AH30" s="34"/>
      <c r="AI30" s="34"/>
      <c r="AJ30" s="34"/>
      <c r="AK30" s="34"/>
      <c r="AL30" s="34"/>
      <c r="AM30" s="34"/>
      <c r="AN30" s="34"/>
      <c r="AO30" s="34"/>
      <c r="AP30" s="34"/>
      <c r="AQ30" s="34"/>
      <c r="AR30" s="34"/>
    </row>
    <row r="31" spans="2:44" s="45" customFormat="1" ht="15" x14ac:dyDescent="0.25">
      <c r="C31" s="104" t="s">
        <v>9</v>
      </c>
      <c r="D31" s="104"/>
      <c r="E31" s="104"/>
      <c r="F31" s="104"/>
      <c r="G31" s="51">
        <f>IF(((G29-G30)&lt;0),0,(G29-G30)*0.15)</f>
        <v>0</v>
      </c>
      <c r="J31" s="4"/>
      <c r="K31" s="4"/>
      <c r="L31" s="34"/>
      <c r="M31" s="34"/>
      <c r="N31" s="34"/>
      <c r="O31" s="34"/>
      <c r="P31" s="34"/>
      <c r="Q31" s="34"/>
      <c r="R31" s="34"/>
      <c r="S31" s="4"/>
      <c r="T31" s="4"/>
      <c r="U31" s="4"/>
      <c r="V31" s="4"/>
      <c r="W31" s="4"/>
      <c r="X31" s="4"/>
      <c r="Y31" s="4"/>
      <c r="Z31" s="4"/>
      <c r="AA31" s="4"/>
      <c r="AB31" s="4"/>
      <c r="AC31" s="4"/>
    </row>
    <row r="32" spans="2:44" s="45" customFormat="1" ht="15" customHeight="1" x14ac:dyDescent="0.25">
      <c r="C32" s="106" t="str">
        <f>IF(F28&gt;0,"Please note Other Income will not be included in serviceability calculations and should only be used to support current servicing position","")</f>
        <v/>
      </c>
      <c r="D32" s="106"/>
      <c r="E32" s="106"/>
      <c r="F32" s="106"/>
      <c r="G32" s="106"/>
      <c r="J32" s="4"/>
      <c r="K32" s="4"/>
      <c r="L32" s="34"/>
      <c r="M32" s="34"/>
      <c r="N32" s="34"/>
      <c r="O32" s="34"/>
      <c r="P32" s="34"/>
      <c r="Q32" s="34"/>
      <c r="R32" s="34"/>
      <c r="S32" s="4"/>
      <c r="T32" s="4"/>
      <c r="U32" s="4"/>
      <c r="V32" s="4"/>
      <c r="W32" s="4"/>
      <c r="X32" s="4"/>
      <c r="Y32" s="4"/>
      <c r="Z32" s="4"/>
      <c r="AA32" s="4"/>
      <c r="AB32" s="4"/>
      <c r="AC32" s="4"/>
    </row>
    <row r="33" spans="3:29" s="45" customFormat="1" ht="15" customHeight="1" x14ac:dyDescent="0.25">
      <c r="C33" s="106"/>
      <c r="D33" s="106"/>
      <c r="E33" s="106"/>
      <c r="F33" s="106"/>
      <c r="G33" s="106"/>
      <c r="J33" s="4"/>
      <c r="K33" s="4"/>
      <c r="L33" s="34"/>
      <c r="M33" s="34"/>
      <c r="N33" s="34"/>
      <c r="O33" s="34"/>
      <c r="P33" s="34"/>
      <c r="Q33" s="34"/>
      <c r="R33" s="34"/>
      <c r="S33" s="4"/>
      <c r="T33" s="4"/>
      <c r="U33" s="4"/>
      <c r="V33" s="4"/>
      <c r="W33" s="4"/>
      <c r="X33" s="4"/>
      <c r="Y33" s="4"/>
      <c r="Z33" s="4"/>
      <c r="AA33" s="4"/>
      <c r="AB33" s="4"/>
      <c r="AC33" s="4"/>
    </row>
    <row r="34" spans="3:29" s="45" customFormat="1" ht="15" customHeight="1" x14ac:dyDescent="0.25">
      <c r="C34" s="106"/>
      <c r="D34" s="106"/>
      <c r="E34" s="106"/>
      <c r="F34" s="106"/>
      <c r="G34" s="106"/>
      <c r="J34" s="4"/>
      <c r="K34" s="4"/>
      <c r="L34" s="34"/>
      <c r="M34" s="34"/>
      <c r="N34" s="34"/>
      <c r="O34" s="34"/>
      <c r="P34" s="34"/>
      <c r="Q34" s="34"/>
      <c r="R34" s="34"/>
      <c r="S34" s="4"/>
      <c r="T34" s="4"/>
      <c r="U34" s="4"/>
      <c r="V34" s="4"/>
      <c r="W34" s="4"/>
      <c r="X34" s="4"/>
      <c r="Y34" s="4"/>
      <c r="Z34" s="4"/>
      <c r="AA34" s="4"/>
      <c r="AB34" s="4"/>
      <c r="AC34" s="4"/>
    </row>
    <row r="35" spans="3:29" s="45" customFormat="1" ht="15.75" customHeight="1" x14ac:dyDescent="0.25">
      <c r="C35" s="105" t="s">
        <v>11</v>
      </c>
      <c r="D35" s="105"/>
      <c r="E35" s="105"/>
      <c r="F35" s="105"/>
      <c r="G35" s="51">
        <f>IF(G31&gt;0,(G29-G31),G29)</f>
        <v>0</v>
      </c>
      <c r="J35" s="4"/>
      <c r="K35" s="4"/>
      <c r="L35" s="34"/>
      <c r="M35" s="34"/>
      <c r="N35" s="34"/>
      <c r="O35" s="34"/>
      <c r="P35" s="34"/>
      <c r="Q35" s="34"/>
      <c r="R35" s="34"/>
      <c r="S35" s="4"/>
      <c r="T35" s="4"/>
      <c r="U35" s="4"/>
      <c r="V35" s="4"/>
      <c r="W35" s="4"/>
      <c r="X35" s="4"/>
      <c r="Y35" s="4"/>
      <c r="Z35" s="4"/>
      <c r="AA35" s="4"/>
      <c r="AB35" s="4"/>
      <c r="AC35" s="4"/>
    </row>
    <row r="36" spans="3:29" s="45" customFormat="1" ht="15.75" customHeight="1" x14ac:dyDescent="0.25">
      <c r="C36" s="105" t="s">
        <v>12</v>
      </c>
      <c r="D36" s="105"/>
      <c r="E36" s="105"/>
      <c r="F36" s="105"/>
      <c r="G36" s="51">
        <f>IF(AND(F12&gt;0,F13&gt;0,F15&gt;0),(INT(-PMT(F13/12,(F15-F16)*12,F12)+1)*12),0)</f>
        <v>0</v>
      </c>
      <c r="J36" s="4"/>
      <c r="K36" s="4"/>
      <c r="L36" s="34"/>
      <c r="M36" s="34"/>
      <c r="N36" s="34"/>
      <c r="O36" s="34"/>
      <c r="P36" s="34"/>
      <c r="Q36" s="34"/>
      <c r="R36" s="34"/>
      <c r="S36" s="4"/>
      <c r="T36" s="4"/>
      <c r="U36" s="4"/>
      <c r="V36" s="4"/>
      <c r="W36" s="4"/>
      <c r="X36" s="4"/>
      <c r="Y36" s="4"/>
      <c r="Z36" s="4"/>
      <c r="AA36" s="4"/>
      <c r="AB36" s="4"/>
      <c r="AC36" s="4"/>
    </row>
    <row r="37" spans="3:29" s="45" customFormat="1" ht="15.75" customHeight="1" x14ac:dyDescent="0.25">
      <c r="C37" s="105" t="s">
        <v>13</v>
      </c>
      <c r="D37" s="105"/>
      <c r="E37" s="105"/>
      <c r="F37" s="105"/>
      <c r="G37" s="51">
        <f>MAX(G19:G20)+G21</f>
        <v>0</v>
      </c>
      <c r="J37" s="4"/>
      <c r="K37" s="4"/>
      <c r="L37" s="34"/>
      <c r="M37" s="34"/>
      <c r="N37" s="34"/>
      <c r="O37" s="34"/>
      <c r="P37" s="34"/>
      <c r="Q37" s="34"/>
      <c r="R37" s="34"/>
      <c r="S37" s="4"/>
      <c r="T37" s="4"/>
      <c r="U37" s="4"/>
      <c r="V37" s="4"/>
      <c r="W37" s="4"/>
      <c r="X37" s="4"/>
      <c r="Y37" s="4"/>
      <c r="Z37" s="4"/>
      <c r="AA37" s="4"/>
      <c r="AB37" s="4"/>
      <c r="AC37" s="4"/>
    </row>
    <row r="38" spans="3:29" s="45" customFormat="1" ht="15" x14ac:dyDescent="0.25">
      <c r="F38" s="48"/>
      <c r="G38" s="48"/>
      <c r="J38" s="4"/>
      <c r="K38" s="4"/>
      <c r="L38" s="34"/>
      <c r="M38" s="34"/>
      <c r="N38" s="34"/>
      <c r="O38" s="34"/>
      <c r="P38" s="34"/>
      <c r="Q38" s="34"/>
      <c r="R38" s="34"/>
      <c r="S38" s="4"/>
      <c r="T38" s="4"/>
      <c r="U38" s="4"/>
      <c r="V38" s="4"/>
      <c r="W38" s="4"/>
      <c r="X38" s="4"/>
      <c r="Y38" s="4"/>
      <c r="Z38" s="4"/>
      <c r="AA38" s="4"/>
      <c r="AB38" s="4"/>
      <c r="AC38" s="4"/>
    </row>
    <row r="39" spans="3:29" s="45" customFormat="1" ht="15" x14ac:dyDescent="0.25">
      <c r="C39" s="105" t="s">
        <v>146</v>
      </c>
      <c r="D39" s="105"/>
      <c r="E39" s="105"/>
      <c r="F39" s="105"/>
      <c r="G39" s="60">
        <f>IF(AND(G35&gt;0,G36&gt;0,G37&gt;0),(G35/(SUM(G36:G37))),0)</f>
        <v>0</v>
      </c>
      <c r="J39" s="4"/>
      <c r="K39" s="4"/>
      <c r="L39" s="4"/>
      <c r="M39" s="4"/>
      <c r="N39" s="4"/>
      <c r="O39" s="4"/>
      <c r="P39" s="4"/>
      <c r="Q39" s="4"/>
      <c r="R39" s="4"/>
      <c r="S39" s="4"/>
      <c r="T39" s="4"/>
      <c r="U39" s="4"/>
      <c r="V39" s="4"/>
      <c r="W39" s="4"/>
      <c r="X39" s="4"/>
      <c r="Y39" s="4"/>
      <c r="Z39" s="4"/>
      <c r="AA39" s="4"/>
      <c r="AB39" s="4"/>
      <c r="AC39" s="4"/>
    </row>
    <row r="40" spans="3:29" s="45" customFormat="1" ht="15" x14ac:dyDescent="0.25">
      <c r="F40" s="48"/>
      <c r="G40" s="48"/>
      <c r="J40" s="4"/>
      <c r="K40" s="4"/>
      <c r="L40" s="4"/>
      <c r="M40" s="4"/>
      <c r="N40" s="4"/>
      <c r="O40" s="4"/>
      <c r="P40" s="4"/>
      <c r="Q40" s="4"/>
      <c r="R40" s="4"/>
      <c r="S40" s="4"/>
      <c r="T40" s="4"/>
      <c r="U40" s="4"/>
      <c r="V40" s="4"/>
      <c r="W40" s="4"/>
      <c r="X40" s="4"/>
      <c r="Y40" s="4"/>
      <c r="Z40" s="4"/>
      <c r="AA40" s="4"/>
      <c r="AB40" s="4"/>
      <c r="AC40" s="4"/>
    </row>
    <row r="41" spans="3:29" s="45" customFormat="1" ht="15" x14ac:dyDescent="0.25">
      <c r="C41" s="102"/>
      <c r="D41" s="103"/>
      <c r="E41" s="103"/>
      <c r="F41" s="103"/>
      <c r="G41" s="103"/>
      <c r="J41" s="4"/>
      <c r="K41" s="4"/>
      <c r="L41" s="4"/>
      <c r="M41" s="4"/>
      <c r="N41" s="4"/>
      <c r="O41" s="4"/>
      <c r="P41" s="4"/>
      <c r="Q41" s="4"/>
      <c r="R41" s="4"/>
      <c r="S41" s="4"/>
      <c r="T41" s="4"/>
      <c r="U41" s="4"/>
      <c r="V41" s="4"/>
      <c r="W41" s="4"/>
      <c r="X41" s="4"/>
      <c r="Y41" s="4"/>
      <c r="Z41" s="4"/>
      <c r="AA41" s="4"/>
      <c r="AB41" s="4"/>
      <c r="AC41" s="4"/>
    </row>
    <row r="42" spans="3:29" s="45" customFormat="1" ht="15" x14ac:dyDescent="0.25">
      <c r="C42" s="103"/>
      <c r="D42" s="103"/>
      <c r="E42" s="103"/>
      <c r="F42" s="103"/>
      <c r="G42" s="103"/>
      <c r="J42" s="4"/>
      <c r="K42" s="4"/>
      <c r="L42" s="4"/>
      <c r="M42" s="4"/>
      <c r="N42" s="4"/>
      <c r="O42" s="4"/>
      <c r="P42" s="4"/>
      <c r="Q42" s="4"/>
      <c r="R42" s="4"/>
      <c r="S42" s="4"/>
      <c r="T42" s="4"/>
      <c r="U42" s="4"/>
      <c r="V42" s="4"/>
      <c r="W42" s="4"/>
      <c r="X42" s="4"/>
      <c r="Y42" s="4"/>
      <c r="Z42" s="4"/>
      <c r="AA42" s="4"/>
      <c r="AB42" s="4"/>
      <c r="AC42" s="4"/>
    </row>
    <row r="43" spans="3:29" s="45" customFormat="1" ht="207" customHeight="1" x14ac:dyDescent="0.25">
      <c r="C43" s="103"/>
      <c r="D43" s="103"/>
      <c r="E43" s="103"/>
      <c r="F43" s="103"/>
      <c r="G43" s="103"/>
      <c r="J43" s="4"/>
      <c r="K43" s="4"/>
      <c r="L43" s="4"/>
      <c r="M43" s="4"/>
      <c r="N43" s="4"/>
      <c r="O43" s="4"/>
      <c r="P43" s="4"/>
      <c r="Q43" s="4"/>
      <c r="R43" s="4"/>
      <c r="S43" s="4"/>
      <c r="T43" s="4"/>
      <c r="U43" s="4"/>
      <c r="V43" s="4"/>
      <c r="W43" s="4"/>
      <c r="X43" s="4"/>
      <c r="Y43" s="4"/>
      <c r="Z43" s="4"/>
      <c r="AA43" s="4"/>
      <c r="AB43" s="4"/>
      <c r="AC43" s="4"/>
    </row>
    <row r="44" spans="3:29" ht="9.75" customHeight="1" x14ac:dyDescent="0.2">
      <c r="J44" s="41"/>
      <c r="K44" s="41"/>
      <c r="L44" s="41"/>
      <c r="M44" s="41"/>
      <c r="P44" s="41"/>
      <c r="Q44" s="41"/>
      <c r="R44" s="41"/>
      <c r="S44" s="41"/>
      <c r="T44" s="41"/>
      <c r="U44" s="41"/>
      <c r="V44" s="41"/>
      <c r="W44" s="41"/>
      <c r="X44" s="41"/>
      <c r="Y44" s="41"/>
      <c r="Z44" s="41"/>
      <c r="AA44" s="41"/>
      <c r="AB44" s="41"/>
      <c r="AC44" s="41"/>
    </row>
    <row r="45" spans="3:29" x14ac:dyDescent="0.2">
      <c r="J45" s="41"/>
      <c r="K45" s="41"/>
      <c r="L45" s="41"/>
      <c r="M45" s="41"/>
      <c r="P45" s="41"/>
      <c r="Q45" s="41"/>
      <c r="R45" s="41"/>
      <c r="S45" s="41"/>
      <c r="T45" s="41"/>
      <c r="U45" s="41"/>
      <c r="V45" s="41"/>
      <c r="W45" s="41"/>
      <c r="X45" s="41"/>
      <c r="Y45" s="41"/>
      <c r="Z45" s="41"/>
      <c r="AA45" s="41"/>
      <c r="AB45" s="41"/>
      <c r="AC45" s="41"/>
    </row>
    <row r="46" spans="3:29" x14ac:dyDescent="0.2">
      <c r="J46" s="41"/>
      <c r="K46" s="41"/>
      <c r="L46" s="41"/>
      <c r="M46" s="41"/>
      <c r="P46" s="41"/>
      <c r="Q46" s="41"/>
      <c r="R46" s="41"/>
      <c r="S46" s="41"/>
      <c r="T46" s="41"/>
      <c r="U46" s="41"/>
      <c r="V46" s="41"/>
      <c r="W46" s="41"/>
      <c r="X46" s="41"/>
      <c r="Y46" s="41"/>
      <c r="Z46" s="41"/>
      <c r="AA46" s="41"/>
      <c r="AB46" s="41"/>
      <c r="AC46" s="41"/>
    </row>
  </sheetData>
  <sheetProtection algorithmName="SHA-512" hashValue="UMKCb2beFIllcC7wxnyCw83LcijpcF1PoeBsxxWbWE05WkFE64OlMJCfOiC4Ae0gd+F5q58UOnwNs8cZ0SknIQ==" saltValue="qheB9T9v5x3qBWHql53l4Q==" spinCount="100000" sheet="1" selectLockedCells="1"/>
  <mergeCells count="18">
    <mergeCell ref="C5:G5"/>
    <mergeCell ref="C37:F37"/>
    <mergeCell ref="C36:F36"/>
    <mergeCell ref="C35:F35"/>
    <mergeCell ref="C6:G6"/>
    <mergeCell ref="C14:D14"/>
    <mergeCell ref="C20:D20"/>
    <mergeCell ref="C41:G43"/>
    <mergeCell ref="C15:D15"/>
    <mergeCell ref="C13:D13"/>
    <mergeCell ref="C12:D12"/>
    <mergeCell ref="C11:D11"/>
    <mergeCell ref="C39:F39"/>
    <mergeCell ref="C31:F31"/>
    <mergeCell ref="C29:F29"/>
    <mergeCell ref="C30:F30"/>
    <mergeCell ref="C32:G34"/>
    <mergeCell ref="C16:D16"/>
  </mergeCells>
  <dataValidations xWindow="671" yWindow="571" count="5">
    <dataValidation type="whole" allowBlank="1" showInputMessage="1" showErrorMessage="1" errorTitle="Loan Term" error="Loan term exceeds allowable limit" sqref="F15">
      <formula1>3</formula1>
      <formula2>25</formula2>
    </dataValidation>
    <dataValidation type="whole" allowBlank="1" showErrorMessage="1" errorTitle="Maximum Loan Amount" error="Exceeds Maximum Loan Amount" prompt="Maximum loan amount for this product is $5,000,000" sqref="F12">
      <formula1>0</formula1>
      <formula2>10000000</formula2>
    </dataValidation>
    <dataValidation errorStyle="information" allowBlank="1" showErrorMessage="1" errorTitle="Assessment Rate" error="The higher of the GMA Assessment Rate (7.30%) or the Borrower Rate plus a buffer of 2.25% will be used in the NDI calculation" promptTitle="Assessment Rate" prompt="The higher of the Assessment Rate (5.25%) or the Borrower Rate plus a buffer of 2.00% will be used in the NDI calculation" sqref="F14"/>
    <dataValidation type="list" allowBlank="1" showInputMessage="1" showErrorMessage="1" sqref="D19:E19 D21:E21 D24:E28">
      <formula1>$N$11:$N$14</formula1>
    </dataValidation>
    <dataValidation type="whole" allowBlank="1" showInputMessage="1" showErrorMessage="1" errorTitle="Loan Term" error="Loan term exceeds allowable limit" sqref="F16">
      <formula1>0</formula1>
      <formula2>5</formula2>
    </dataValidation>
  </dataValidations>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Y46"/>
  <sheetViews>
    <sheetView zoomScale="85" zoomScaleNormal="85" workbookViewId="0">
      <selection activeCell="G1" sqref="G1:H1"/>
    </sheetView>
  </sheetViews>
  <sheetFormatPr defaultColWidth="9.140625" defaultRowHeight="15" x14ac:dyDescent="0.25"/>
  <cols>
    <col min="1" max="1" width="4.7109375" style="69" customWidth="1"/>
    <col min="2" max="2" width="16.7109375" style="69" customWidth="1"/>
    <col min="3" max="3" width="14.140625" style="69" customWidth="1"/>
    <col min="4" max="4" width="2.7109375" style="69" customWidth="1"/>
    <col min="5" max="7" width="16.7109375" style="69" customWidth="1"/>
    <col min="8" max="8" width="30.42578125" style="69" customWidth="1"/>
    <col min="9" max="10" width="16.7109375" style="69" customWidth="1"/>
    <col min="11" max="11" width="2.5703125" style="69" customWidth="1"/>
    <col min="12" max="12" width="20" style="69" customWidth="1"/>
    <col min="13" max="13" width="12.42578125" style="69" customWidth="1"/>
    <col min="14" max="14" width="3.7109375" style="69" customWidth="1"/>
    <col min="15" max="15" width="19.5703125" style="69" customWidth="1"/>
    <col min="16" max="16" width="17.85546875" style="69" bestFit="1" customWidth="1"/>
    <col min="17" max="17" width="11.7109375" style="69" customWidth="1"/>
    <col min="18" max="25" width="0.140625" style="69" customWidth="1"/>
    <col min="26" max="26" width="11.7109375" style="69" customWidth="1"/>
    <col min="27" max="29" width="9.140625" style="69" customWidth="1"/>
    <col min="30" max="16384" width="9.140625" style="69"/>
  </cols>
  <sheetData>
    <row r="1" spans="2:25" ht="66" customHeight="1" x14ac:dyDescent="0.25">
      <c r="E1" s="110" t="s">
        <v>58</v>
      </c>
      <c r="F1" s="110"/>
      <c r="G1" s="136"/>
      <c r="H1" s="137"/>
    </row>
    <row r="2" spans="2:25" ht="60.75" customHeight="1" x14ac:dyDescent="0.25">
      <c r="B2" s="130" t="s">
        <v>147</v>
      </c>
      <c r="C2" s="130"/>
      <c r="D2" s="130"/>
      <c r="E2" s="130"/>
      <c r="F2" s="130"/>
      <c r="G2" s="109" t="s">
        <v>68</v>
      </c>
      <c r="H2" s="109" t="s">
        <v>69</v>
      </c>
      <c r="R2" s="70"/>
      <c r="S2" s="70"/>
      <c r="T2" s="70"/>
      <c r="U2" s="70"/>
      <c r="V2" s="70"/>
    </row>
    <row r="3" spans="2:25" ht="30.75" customHeight="1" x14ac:dyDescent="0.25">
      <c r="B3" s="71" t="s">
        <v>60</v>
      </c>
      <c r="C3" s="109" t="s">
        <v>70</v>
      </c>
      <c r="D3" s="109"/>
      <c r="E3" s="71" t="s">
        <v>71</v>
      </c>
      <c r="F3" s="71" t="s">
        <v>45</v>
      </c>
      <c r="G3" s="109"/>
      <c r="H3" s="109"/>
      <c r="L3" s="131"/>
      <c r="M3" s="131"/>
      <c r="R3" s="70"/>
      <c r="S3" s="70"/>
      <c r="T3" s="70"/>
      <c r="U3" s="70"/>
      <c r="V3" s="70"/>
    </row>
    <row r="4" spans="2:25" x14ac:dyDescent="0.25">
      <c r="B4" s="67"/>
      <c r="C4" s="113"/>
      <c r="D4" s="113"/>
      <c r="E4" s="68"/>
      <c r="F4" s="72">
        <f>IF(E4="",7.5%,MAX(2%,E4+0.02))</f>
        <v>7.4999999999999997E-2</v>
      </c>
      <c r="G4" s="73">
        <f>IF(OR(B4="",C4="",E4="",F4=""),0,Period_Pmt(B4,C4*12,F4/12,W4))</f>
        <v>0</v>
      </c>
      <c r="H4" s="73">
        <f>IF(OR(B4="",C4="",E4="",F4=""),0,   Ave_Period_Int(B4,C4*12,F4/12,X4,1,12)   )</f>
        <v>0</v>
      </c>
      <c r="L4" s="132"/>
      <c r="M4" s="133"/>
      <c r="R4" s="70"/>
      <c r="S4" s="112" t="s">
        <v>72</v>
      </c>
      <c r="T4" s="112"/>
      <c r="U4" s="74">
        <v>0</v>
      </c>
      <c r="V4" s="70"/>
      <c r="W4" s="75" t="s">
        <v>73</v>
      </c>
      <c r="X4" s="75" t="s">
        <v>74</v>
      </c>
      <c r="Y4" s="69">
        <f>IF(E4&lt;7.5%,7.5%,E4)</f>
        <v>7.4999999999999997E-2</v>
      </c>
    </row>
    <row r="5" spans="2:25" x14ac:dyDescent="0.25">
      <c r="B5" s="67"/>
      <c r="C5" s="113"/>
      <c r="D5" s="113"/>
      <c r="E5" s="68"/>
      <c r="F5" s="72">
        <f t="shared" ref="F5:F7" si="0">IF(E5="",7.5%,MAX(2%,E5+0.02))</f>
        <v>7.4999999999999997E-2</v>
      </c>
      <c r="G5" s="73">
        <f>IF(OR(B5="",C5="",E5="",F5=""),0,Period_Pmt(B5,C5*12,F5/12,W5))</f>
        <v>0</v>
      </c>
      <c r="H5" s="73">
        <f>IF(OR(B5="",C5="",E5="",F5=""),0,   Ave_Period_Int(B5,C5*12,F5/12,X5,1,12)   )</f>
        <v>0</v>
      </c>
      <c r="L5" s="133"/>
      <c r="M5" s="133"/>
      <c r="R5" s="70"/>
      <c r="S5" s="112" t="s">
        <v>75</v>
      </c>
      <c r="T5" s="112"/>
      <c r="U5" s="74">
        <f>3.8%*12</f>
        <v>0.45599999999999996</v>
      </c>
      <c r="V5" s="70"/>
      <c r="W5" s="75" t="s">
        <v>73</v>
      </c>
      <c r="X5" s="75" t="s">
        <v>74</v>
      </c>
      <c r="Y5" s="69">
        <f>IF(E5&lt;7.5%,7.5%,E5)</f>
        <v>7.4999999999999997E-2</v>
      </c>
    </row>
    <row r="6" spans="2:25" x14ac:dyDescent="0.25">
      <c r="B6" s="67"/>
      <c r="C6" s="113"/>
      <c r="D6" s="113"/>
      <c r="E6" s="68"/>
      <c r="F6" s="72">
        <f t="shared" si="0"/>
        <v>7.4999999999999997E-2</v>
      </c>
      <c r="G6" s="73">
        <f>IF(OR(B6="",C6="",E6="",F6=""),0,Period_Pmt(B6,C6*12,F6/12,W6))</f>
        <v>0</v>
      </c>
      <c r="H6" s="73">
        <f>IF(OR(B6="",C6="",E6="",F6=""),0,   Ave_Period_Int(B6,C6*12,F6/12,X6,1,12)   )</f>
        <v>0</v>
      </c>
      <c r="R6" s="70"/>
      <c r="S6" s="70"/>
      <c r="T6" s="70"/>
      <c r="U6" s="70"/>
      <c r="V6" s="70"/>
      <c r="W6" s="75" t="s">
        <v>73</v>
      </c>
      <c r="X6" s="75" t="s">
        <v>74</v>
      </c>
      <c r="Y6" s="69">
        <f>IF(E6&lt;7.5%,7.5%,E6)</f>
        <v>7.4999999999999997E-2</v>
      </c>
    </row>
    <row r="7" spans="2:25" x14ac:dyDescent="0.25">
      <c r="B7" s="67"/>
      <c r="C7" s="113"/>
      <c r="D7" s="113"/>
      <c r="E7" s="68"/>
      <c r="F7" s="72">
        <f t="shared" si="0"/>
        <v>7.4999999999999997E-2</v>
      </c>
      <c r="G7" s="73">
        <f>IF(OR(B7="",C7="",E7="",F7=""),0,Period_Pmt(B7,C7*12,F7/12,W7))</f>
        <v>0</v>
      </c>
      <c r="H7" s="73">
        <f>IF(OR(B7="",C7="",E7="",F7=""),0,   Ave_Period_Int(B7,C7*12,F7/12,X7,1,12)   )</f>
        <v>0</v>
      </c>
      <c r="R7" s="70"/>
      <c r="S7" s="112" t="s">
        <v>76</v>
      </c>
      <c r="T7" s="112"/>
      <c r="U7" s="76">
        <v>0.3</v>
      </c>
      <c r="V7" s="70"/>
      <c r="W7" s="75" t="s">
        <v>73</v>
      </c>
      <c r="X7" s="75" t="s">
        <v>74</v>
      </c>
      <c r="Y7" s="69">
        <f>IF(E7&lt;7.5%,7.5%,E7)</f>
        <v>7.4999999999999997E-2</v>
      </c>
    </row>
    <row r="8" spans="2:25" x14ac:dyDescent="0.25">
      <c r="B8" s="77">
        <f>SUM(B4:B7)</f>
        <v>0</v>
      </c>
      <c r="G8" s="73">
        <f>SUM(G4:G7)</f>
        <v>0</v>
      </c>
      <c r="H8" s="73">
        <f>SUM(H4:H7)</f>
        <v>0</v>
      </c>
      <c r="I8" s="70" t="s">
        <v>77</v>
      </c>
      <c r="R8" s="70"/>
      <c r="S8" s="70"/>
      <c r="T8" s="70"/>
      <c r="U8" s="70"/>
      <c r="V8" s="70"/>
    </row>
    <row r="9" spans="2:25" x14ac:dyDescent="0.25">
      <c r="G9" s="73">
        <f>G8*12</f>
        <v>0</v>
      </c>
      <c r="H9" s="73">
        <f>H8*12</f>
        <v>0</v>
      </c>
      <c r="I9" s="70" t="s">
        <v>78</v>
      </c>
      <c r="R9" s="70"/>
      <c r="S9" s="70"/>
      <c r="T9" s="70"/>
      <c r="U9" s="70"/>
      <c r="V9" s="70"/>
    </row>
    <row r="10" spans="2:25" x14ac:dyDescent="0.25">
      <c r="R10" s="70"/>
      <c r="S10" s="70"/>
      <c r="T10" s="70"/>
      <c r="U10" s="70"/>
      <c r="V10" s="70"/>
    </row>
    <row r="11" spans="2:25" x14ac:dyDescent="0.25">
      <c r="R11" s="70"/>
      <c r="S11" s="70"/>
      <c r="T11" s="70"/>
      <c r="U11" s="70"/>
      <c r="V11" s="70"/>
    </row>
    <row r="12" spans="2:25" x14ac:dyDescent="0.25">
      <c r="B12" s="114" t="s">
        <v>148</v>
      </c>
      <c r="C12" s="114"/>
      <c r="D12" s="114"/>
      <c r="E12" s="114"/>
      <c r="F12" s="114"/>
      <c r="G12" s="114"/>
      <c r="H12" s="114"/>
      <c r="I12" s="114"/>
      <c r="J12" s="114"/>
      <c r="K12" s="114"/>
      <c r="L12" s="114"/>
      <c r="M12" s="114"/>
      <c r="N12" s="115"/>
      <c r="O12" s="115"/>
      <c r="P12" s="115"/>
      <c r="R12" s="70"/>
      <c r="S12" s="116" t="s">
        <v>79</v>
      </c>
      <c r="T12" s="116"/>
      <c r="U12" s="70"/>
      <c r="V12" s="70"/>
    </row>
    <row r="13" spans="2:25" ht="41.25" customHeight="1" x14ac:dyDescent="0.25">
      <c r="B13" s="71" t="s">
        <v>80</v>
      </c>
      <c r="C13" s="109" t="s">
        <v>81</v>
      </c>
      <c r="D13" s="109"/>
      <c r="E13" s="71" t="s">
        <v>82</v>
      </c>
      <c r="F13" s="71" t="s">
        <v>83</v>
      </c>
      <c r="G13" s="71" t="s">
        <v>84</v>
      </c>
      <c r="H13" s="71" t="s">
        <v>85</v>
      </c>
      <c r="I13" s="71" t="s">
        <v>86</v>
      </c>
      <c r="J13" s="71" t="s">
        <v>87</v>
      </c>
      <c r="L13" s="71" t="s">
        <v>88</v>
      </c>
      <c r="M13" s="71" t="s">
        <v>89</v>
      </c>
      <c r="O13" s="109" t="s">
        <v>90</v>
      </c>
      <c r="P13" s="109"/>
      <c r="R13" s="70"/>
      <c r="S13" s="78" t="s">
        <v>91</v>
      </c>
      <c r="T13" s="78" t="s">
        <v>92</v>
      </c>
      <c r="U13" s="70"/>
      <c r="V13" s="70"/>
    </row>
    <row r="14" spans="2:25" x14ac:dyDescent="0.25">
      <c r="B14" s="93"/>
      <c r="C14" s="111"/>
      <c r="D14" s="111"/>
      <c r="E14" s="67"/>
      <c r="F14" s="67"/>
      <c r="G14" s="67"/>
      <c r="H14" s="67"/>
      <c r="I14" s="73">
        <f ca="1">IFERROR(Tax_Applicable(SUM(C14,E14*(1-expense_percent_property),F14),(E14*expense_percent_property)+G14,FALSE),"")</f>
        <v>0</v>
      </c>
      <c r="J14" s="73">
        <f ca="1">IFERROR(SUM(C14,E14*(1-expense_percent_property),F14,H14)-I14,"")</f>
        <v>0</v>
      </c>
      <c r="L14" s="67"/>
      <c r="M14" s="94"/>
      <c r="O14" s="79" t="s">
        <v>93</v>
      </c>
      <c r="P14" s="67"/>
      <c r="R14" s="70"/>
      <c r="S14" s="80">
        <v>18200</v>
      </c>
      <c r="T14" s="81">
        <v>0</v>
      </c>
      <c r="U14" s="70"/>
      <c r="V14" s="70"/>
    </row>
    <row r="15" spans="2:25" x14ac:dyDescent="0.25">
      <c r="B15" s="93"/>
      <c r="C15" s="111"/>
      <c r="D15" s="111"/>
      <c r="E15" s="67"/>
      <c r="F15" s="67"/>
      <c r="G15" s="67"/>
      <c r="H15" s="67"/>
      <c r="I15" s="73">
        <f ca="1">IFERROR(Tax_Applicable(SUM(C15,E15*(1-expense_percent_property),F15),(E15*expense_percent_property)+G15,FALSE),"")</f>
        <v>0</v>
      </c>
      <c r="J15" s="73">
        <f ca="1">IFERROR(SUM(C15,E15*(1-expense_percent_property),F15,H15)-I15,"")</f>
        <v>0</v>
      </c>
      <c r="L15" s="67"/>
      <c r="M15" s="94"/>
      <c r="O15" s="79" t="s">
        <v>94</v>
      </c>
      <c r="P15" s="67"/>
      <c r="R15" s="70"/>
      <c r="S15" s="80">
        <v>37000</v>
      </c>
      <c r="T15" s="81">
        <v>0.19</v>
      </c>
      <c r="U15" s="70"/>
      <c r="V15" s="70"/>
    </row>
    <row r="16" spans="2:25" x14ac:dyDescent="0.25">
      <c r="B16" s="93"/>
      <c r="C16" s="111"/>
      <c r="D16" s="111"/>
      <c r="E16" s="67"/>
      <c r="F16" s="67"/>
      <c r="G16" s="67"/>
      <c r="H16" s="67"/>
      <c r="I16" s="73">
        <f ca="1">IFERROR(Tax_Applicable(SUM(C16,E16*(1-expense_percent_property),F16),(E16*expense_percent_property)+G16,FALSE),"")</f>
        <v>0</v>
      </c>
      <c r="J16" s="73">
        <f ca="1">IFERROR(SUM(C16,E16*(1-expense_percent_property),F16,H16)-I16,"")</f>
        <v>0</v>
      </c>
      <c r="L16" s="67"/>
      <c r="M16" s="94"/>
      <c r="O16" s="79" t="s">
        <v>139</v>
      </c>
      <c r="P16" s="67"/>
      <c r="R16" s="70"/>
      <c r="S16" s="80">
        <v>90000</v>
      </c>
      <c r="T16" s="82">
        <v>0.32500000000000001</v>
      </c>
      <c r="U16" s="70"/>
      <c r="V16" s="70"/>
    </row>
    <row r="17" spans="2:22" x14ac:dyDescent="0.25">
      <c r="B17" s="93"/>
      <c r="C17" s="111"/>
      <c r="D17" s="111"/>
      <c r="E17" s="67"/>
      <c r="F17" s="67"/>
      <c r="G17" s="67"/>
      <c r="H17" s="67"/>
      <c r="I17" s="73">
        <f ca="1">IFERROR(Tax_Applicable(SUM(C17,E17*(1-expense_percent_property),F17),(E17*expense_percent_property)+G17,FALSE),"")</f>
        <v>0</v>
      </c>
      <c r="J17" s="73">
        <f ca="1">IFERROR(SUM(C17,E17*(1-expense_percent_property),F17,H17)-I17,"")</f>
        <v>0</v>
      </c>
      <c r="L17" s="67"/>
      <c r="M17" s="94"/>
      <c r="O17" s="79" t="s">
        <v>95</v>
      </c>
      <c r="P17" s="67"/>
      <c r="R17" s="70"/>
      <c r="S17" s="80">
        <v>180000</v>
      </c>
      <c r="T17" s="81">
        <v>0.37</v>
      </c>
      <c r="U17" s="70"/>
      <c r="V17" s="70"/>
    </row>
    <row r="18" spans="2:22" x14ac:dyDescent="0.25">
      <c r="C18" s="117">
        <f t="shared" ref="C18:H18" si="1">SUM(C14:C17)</f>
        <v>0</v>
      </c>
      <c r="D18" s="117"/>
      <c r="E18" s="77">
        <f t="shared" si="1"/>
        <v>0</v>
      </c>
      <c r="F18" s="77">
        <f t="shared" si="1"/>
        <v>0</v>
      </c>
      <c r="G18" s="77">
        <f t="shared" si="1"/>
        <v>0</v>
      </c>
      <c r="H18" s="77">
        <f t="shared" si="1"/>
        <v>0</v>
      </c>
      <c r="I18" s="73">
        <f ca="1">SUM(I14:I17)</f>
        <v>0</v>
      </c>
      <c r="J18" s="73">
        <f ca="1">SUM(J14:J17)</f>
        <v>0</v>
      </c>
      <c r="L18" s="83" t="s">
        <v>96</v>
      </c>
      <c r="M18" s="73">
        <f>SUMPRODUCT(L14:L17,M14:M17)</f>
        <v>0</v>
      </c>
      <c r="O18" s="79" t="s">
        <v>97</v>
      </c>
      <c r="P18" s="67"/>
      <c r="R18" s="70"/>
      <c r="S18" s="80">
        <v>100000000</v>
      </c>
      <c r="T18" s="81">
        <v>0.45</v>
      </c>
      <c r="U18" s="70"/>
      <c r="V18" s="70"/>
    </row>
    <row r="19" spans="2:22" x14ac:dyDescent="0.25">
      <c r="O19" s="95"/>
      <c r="P19" s="96">
        <f>SUM(SUM(P14:P15)*1.25,P16,P17*expense_percent_credit_card,P18)</f>
        <v>0</v>
      </c>
      <c r="R19" s="70"/>
      <c r="S19" s="70"/>
      <c r="T19" s="70"/>
      <c r="U19" s="70"/>
      <c r="V19" s="70"/>
    </row>
    <row r="20" spans="2:22" ht="18" hidden="1" customHeight="1" x14ac:dyDescent="0.25">
      <c r="O20" s="95"/>
      <c r="P20" s="97"/>
      <c r="R20" s="84"/>
      <c r="S20" s="85" t="s">
        <v>98</v>
      </c>
      <c r="T20" s="85" t="s">
        <v>99</v>
      </c>
      <c r="U20" s="85" t="s">
        <v>86</v>
      </c>
      <c r="V20" s="84"/>
    </row>
    <row r="21" spans="2:22" hidden="1" x14ac:dyDescent="0.25">
      <c r="O21" s="98"/>
      <c r="P21" s="98"/>
      <c r="R21" s="85">
        <v>1</v>
      </c>
      <c r="S21" s="80">
        <v>0</v>
      </c>
      <c r="T21" s="77">
        <f t="shared" ref="T21:T26" si="2">S21-U21</f>
        <v>0</v>
      </c>
      <c r="U21" s="80">
        <v>0</v>
      </c>
      <c r="V21" s="86">
        <v>1</v>
      </c>
    </row>
    <row r="22" spans="2:22" x14ac:dyDescent="0.25">
      <c r="R22" s="86">
        <v>2</v>
      </c>
      <c r="S22" s="77">
        <f>S14</f>
        <v>18200</v>
      </c>
      <c r="T22" s="77">
        <f t="shared" si="2"/>
        <v>18200</v>
      </c>
      <c r="U22" s="77">
        <f>U21+((S22-S21)*T14)</f>
        <v>0</v>
      </c>
      <c r="V22" s="86">
        <v>2</v>
      </c>
    </row>
    <row r="23" spans="2:22" x14ac:dyDescent="0.25">
      <c r="B23" s="134"/>
      <c r="C23" s="134"/>
      <c r="E23" s="114" t="s">
        <v>100</v>
      </c>
      <c r="F23" s="114"/>
      <c r="G23" s="114"/>
      <c r="H23" s="114"/>
      <c r="I23" s="114"/>
      <c r="J23" s="114"/>
      <c r="K23" s="114"/>
      <c r="L23" s="114"/>
      <c r="M23" s="114"/>
      <c r="R23" s="86">
        <v>3</v>
      </c>
      <c r="S23" s="77">
        <f>S15</f>
        <v>37000</v>
      </c>
      <c r="T23" s="77">
        <f t="shared" si="2"/>
        <v>33428</v>
      </c>
      <c r="U23" s="77">
        <f>U22+((S23-S22)*T15)</f>
        <v>3572</v>
      </c>
      <c r="V23" s="86">
        <v>3</v>
      </c>
    </row>
    <row r="24" spans="2:22" ht="25.5" x14ac:dyDescent="0.25">
      <c r="B24" s="135"/>
      <c r="C24" s="135"/>
      <c r="E24" s="71" t="s">
        <v>80</v>
      </c>
      <c r="F24" s="71" t="s">
        <v>101</v>
      </c>
      <c r="G24" s="71" t="s">
        <v>82</v>
      </c>
      <c r="H24" s="71" t="s">
        <v>84</v>
      </c>
      <c r="I24" s="71" t="s">
        <v>86</v>
      </c>
      <c r="J24" s="71" t="s">
        <v>87</v>
      </c>
      <c r="L24" s="109" t="s">
        <v>85</v>
      </c>
      <c r="M24" s="109"/>
      <c r="R24" s="86">
        <v>4</v>
      </c>
      <c r="S24" s="77">
        <f>S16</f>
        <v>90000</v>
      </c>
      <c r="T24" s="77">
        <f>S24-U24</f>
        <v>69203</v>
      </c>
      <c r="U24" s="77">
        <f>U23+((S24-S23)*T16)</f>
        <v>20797</v>
      </c>
      <c r="V24" s="86">
        <v>4</v>
      </c>
    </row>
    <row r="25" spans="2:22" x14ac:dyDescent="0.25">
      <c r="B25" s="135"/>
      <c r="C25" s="135"/>
      <c r="E25" s="93"/>
      <c r="F25" s="67"/>
      <c r="G25" s="67"/>
      <c r="H25" s="67"/>
      <c r="I25" s="73">
        <f ca="1">IFERROR(Tax_Applicable(SUM(F25:G25),H25,TRUE),"")</f>
        <v>0</v>
      </c>
      <c r="J25" s="73">
        <f ca="1">IFERROR(SUM(F25:G25)-I25,"")</f>
        <v>0</v>
      </c>
      <c r="L25" s="79" t="s">
        <v>102</v>
      </c>
      <c r="M25" s="67"/>
      <c r="R25" s="86">
        <v>5</v>
      </c>
      <c r="S25" s="77">
        <f>S17</f>
        <v>180000</v>
      </c>
      <c r="T25" s="77">
        <f>S25-U25</f>
        <v>125903</v>
      </c>
      <c r="U25" s="77">
        <f>U24+((S25-S24)*T17)</f>
        <v>54097</v>
      </c>
      <c r="V25" s="86">
        <v>5</v>
      </c>
    </row>
    <row r="26" spans="2:22" x14ac:dyDescent="0.25">
      <c r="B26" s="135"/>
      <c r="C26" s="135"/>
      <c r="E26" s="93"/>
      <c r="F26" s="67"/>
      <c r="G26" s="67"/>
      <c r="H26" s="67"/>
      <c r="I26" s="73">
        <f t="shared" ref="I26:I28" ca="1" si="3">IFERROR(Tax_Applicable(SUM(F26:G26),H26,TRUE),"")</f>
        <v>0</v>
      </c>
      <c r="J26" s="73">
        <f t="shared" ref="J26:J28" ca="1" si="4">IFERROR(SUM(F26:G26)-I26,"")</f>
        <v>0</v>
      </c>
      <c r="L26" s="79" t="s">
        <v>103</v>
      </c>
      <c r="M26" s="67"/>
      <c r="R26" s="86">
        <v>6</v>
      </c>
      <c r="S26" s="77">
        <f>S18</f>
        <v>100000000</v>
      </c>
      <c r="T26" s="77">
        <f t="shared" si="2"/>
        <v>55026903</v>
      </c>
      <c r="U26" s="77">
        <f>U25+((S26-S25)*T18)</f>
        <v>44973097</v>
      </c>
      <c r="V26" s="86">
        <v>6</v>
      </c>
    </row>
    <row r="27" spans="2:22" x14ac:dyDescent="0.25">
      <c r="B27" s="135"/>
      <c r="C27" s="135"/>
      <c r="E27" s="93"/>
      <c r="F27" s="67"/>
      <c r="G27" s="67"/>
      <c r="H27" s="67"/>
      <c r="I27" s="73">
        <f t="shared" ca="1" si="3"/>
        <v>0</v>
      </c>
      <c r="J27" s="73">
        <f t="shared" ca="1" si="4"/>
        <v>0</v>
      </c>
      <c r="L27" s="79" t="s">
        <v>104</v>
      </c>
      <c r="M27" s="67"/>
      <c r="R27" s="84"/>
      <c r="S27" s="84"/>
      <c r="T27" s="84"/>
      <c r="U27" s="84"/>
      <c r="V27" s="84"/>
    </row>
    <row r="28" spans="2:22" x14ac:dyDescent="0.25">
      <c r="B28" s="135"/>
      <c r="C28" s="135"/>
      <c r="E28" s="93"/>
      <c r="F28" s="67"/>
      <c r="G28" s="67"/>
      <c r="H28" s="67"/>
      <c r="I28" s="73">
        <f t="shared" ca="1" si="3"/>
        <v>0</v>
      </c>
      <c r="J28" s="73">
        <f t="shared" ca="1" si="4"/>
        <v>0</v>
      </c>
      <c r="L28" s="79" t="s">
        <v>105</v>
      </c>
      <c r="M28" s="67"/>
      <c r="R28" s="84"/>
      <c r="S28" s="84"/>
      <c r="T28" s="84"/>
      <c r="U28" s="84"/>
      <c r="V28" s="84"/>
    </row>
    <row r="29" spans="2:22" x14ac:dyDescent="0.25">
      <c r="B29" s="135"/>
      <c r="C29" s="135"/>
      <c r="F29" s="77">
        <f>SUM(F25:F28)</f>
        <v>0</v>
      </c>
      <c r="G29" s="77">
        <f>SUM(G25:G28)</f>
        <v>0</v>
      </c>
      <c r="H29" s="77">
        <f>SUM(H25:H28)</f>
        <v>0</v>
      </c>
      <c r="I29" s="73">
        <f ca="1">SUM(I25:I28)</f>
        <v>0</v>
      </c>
      <c r="J29" s="73">
        <f ca="1">SUM(J25:J28)</f>
        <v>0</v>
      </c>
      <c r="L29" s="69" t="s">
        <v>149</v>
      </c>
      <c r="M29" s="99"/>
      <c r="R29" s="70"/>
      <c r="S29" s="70"/>
      <c r="T29" s="70"/>
      <c r="U29" s="70"/>
      <c r="V29" s="70"/>
    </row>
    <row r="30" spans="2:22" x14ac:dyDescent="0.25">
      <c r="B30" s="135"/>
      <c r="C30" s="135"/>
      <c r="L30" s="87"/>
      <c r="M30" s="77">
        <f>M25   +   (SUM(M26:M29)*(1-company_tax_rate))</f>
        <v>0</v>
      </c>
      <c r="R30" s="70"/>
      <c r="S30" s="70"/>
      <c r="T30" s="70"/>
      <c r="U30" s="70"/>
      <c r="V30" s="70"/>
    </row>
    <row r="31" spans="2:22" x14ac:dyDescent="0.25">
      <c r="B31" s="135"/>
      <c r="C31" s="135"/>
      <c r="R31" s="70"/>
      <c r="V31" s="70"/>
    </row>
    <row r="32" spans="2:22" x14ac:dyDescent="0.25">
      <c r="B32" s="135"/>
      <c r="C32" s="135"/>
      <c r="F32" s="110" t="s">
        <v>106</v>
      </c>
      <c r="G32" s="110"/>
      <c r="H32" s="110" t="s">
        <v>107</v>
      </c>
      <c r="I32" s="110"/>
      <c r="R32" s="70"/>
      <c r="V32" s="70"/>
    </row>
    <row r="33" spans="2:22" x14ac:dyDescent="0.25">
      <c r="B33" s="135"/>
      <c r="C33" s="135"/>
      <c r="F33" s="79" t="s">
        <v>108</v>
      </c>
      <c r="G33" s="67"/>
      <c r="H33" s="79" t="s">
        <v>109</v>
      </c>
      <c r="I33" s="77">
        <f ca="1">SUM(J18,J29,M30)</f>
        <v>0</v>
      </c>
      <c r="R33" s="70"/>
      <c r="V33" s="70"/>
    </row>
    <row r="34" spans="2:22" x14ac:dyDescent="0.25">
      <c r="B34" s="135"/>
      <c r="C34" s="135"/>
      <c r="F34" s="79" t="s">
        <v>110</v>
      </c>
      <c r="G34" s="67"/>
      <c r="H34" s="79" t="s">
        <v>111</v>
      </c>
      <c r="I34" s="77">
        <f>SUM(G9,P19)</f>
        <v>0</v>
      </c>
      <c r="R34" s="70"/>
      <c r="V34" s="70"/>
    </row>
    <row r="35" spans="2:22" x14ac:dyDescent="0.25">
      <c r="B35" s="135"/>
      <c r="C35" s="135"/>
      <c r="F35" s="79" t="s">
        <v>112</v>
      </c>
      <c r="G35" s="88" t="str">
        <f>IF(G33=0,"-",   SUM(B8,G34)/G33   )</f>
        <v>-</v>
      </c>
      <c r="H35" s="79" t="s">
        <v>113</v>
      </c>
      <c r="I35" s="77">
        <f ca="1">I33-I34</f>
        <v>0</v>
      </c>
      <c r="R35" s="70"/>
      <c r="V35" s="70"/>
    </row>
    <row r="36" spans="2:22" x14ac:dyDescent="0.25">
      <c r="B36" s="135"/>
      <c r="C36" s="135"/>
      <c r="F36" s="79" t="s">
        <v>114</v>
      </c>
      <c r="G36" s="88">
        <v>0.75</v>
      </c>
      <c r="H36" s="79" t="s">
        <v>115</v>
      </c>
      <c r="I36" s="89" t="str">
        <f ca="1">IF(I35=0,"-",   I33/I34   )</f>
        <v>-</v>
      </c>
      <c r="R36" s="70"/>
      <c r="V36" s="70"/>
    </row>
    <row r="37" spans="2:22" x14ac:dyDescent="0.25">
      <c r="B37" s="135"/>
      <c r="C37" s="135"/>
      <c r="F37" s="79" t="s">
        <v>116</v>
      </c>
      <c r="G37" s="90" t="str">
        <f>IF(G33=0,"-",   IF(LVR_consolidated&lt;=LVR_maximum,"LVR passed","LVR failed")   )</f>
        <v>-</v>
      </c>
      <c r="H37" s="79" t="s">
        <v>117</v>
      </c>
      <c r="I37" s="89">
        <v>1.25</v>
      </c>
      <c r="R37" s="70"/>
      <c r="V37" s="70"/>
    </row>
    <row r="38" spans="2:22" x14ac:dyDescent="0.25">
      <c r="H38" s="79" t="s">
        <v>118</v>
      </c>
      <c r="I38" s="91" t="str">
        <f ca="1">IF(DSCR_calculated="-","-",IF(DSCR_calculated&gt;DSCR_minimum,"DSCR Passed","DSCR Failed"))</f>
        <v>-</v>
      </c>
    </row>
    <row r="39" spans="2:22" x14ac:dyDescent="0.25">
      <c r="H39" s="98"/>
      <c r="I39" s="98"/>
    </row>
    <row r="40" spans="2:22" hidden="1" x14ac:dyDescent="0.25">
      <c r="H40" s="110" t="s">
        <v>119</v>
      </c>
      <c r="I40" s="110"/>
    </row>
    <row r="41" spans="2:22" hidden="1" x14ac:dyDescent="0.25">
      <c r="H41" s="79" t="s">
        <v>120</v>
      </c>
      <c r="I41" s="77">
        <f>F29</f>
        <v>0</v>
      </c>
    </row>
    <row r="42" spans="2:22" hidden="1" x14ac:dyDescent="0.25">
      <c r="H42" s="79" t="s">
        <v>121</v>
      </c>
      <c r="I42" s="77">
        <f>H9+M18</f>
        <v>0</v>
      </c>
      <c r="J42" s="75"/>
    </row>
    <row r="43" spans="2:22" hidden="1" x14ac:dyDescent="0.25">
      <c r="H43" s="79" t="s">
        <v>122</v>
      </c>
      <c r="I43" s="92" t="str">
        <f>IF(I42=0,"-",I41/I42)</f>
        <v>-</v>
      </c>
    </row>
    <row r="44" spans="2:22" hidden="1" x14ac:dyDescent="0.25">
      <c r="H44" s="79" t="s">
        <v>123</v>
      </c>
      <c r="I44" s="92">
        <v>1.5</v>
      </c>
    </row>
    <row r="45" spans="2:22" hidden="1" x14ac:dyDescent="0.25">
      <c r="H45" s="79" t="s">
        <v>124</v>
      </c>
      <c r="I45" s="91" t="str">
        <f>IF(I43="-","-",IF(I43&gt;I44,"ICT Passed","ICT Failed"))</f>
        <v>-</v>
      </c>
    </row>
    <row r="46" spans="2:22" x14ac:dyDescent="0.25">
      <c r="H46" s="98"/>
      <c r="I46" s="98"/>
    </row>
  </sheetData>
  <sheetProtection algorithmName="SHA-512" hashValue="IcHPbXC6MqOuuoH9BGxYdpqa+kFiDAArJsTo/GHaIdDxPcO/9MLNmsS02rLGxcdy8tkszEh6fXn9N1ZiEXe23g==" saltValue="Tof4rEIgffXfgCLkgj2r7Q==" spinCount="100000" sheet="1" objects="1" scenarios="1" selectLockedCells="1"/>
  <mergeCells count="29">
    <mergeCell ref="E1:F1"/>
    <mergeCell ref="G1:H1"/>
    <mergeCell ref="H40:I40"/>
    <mergeCell ref="C16:D16"/>
    <mergeCell ref="C17:D17"/>
    <mergeCell ref="C18:D18"/>
    <mergeCell ref="E23:M23"/>
    <mergeCell ref="L24:M24"/>
    <mergeCell ref="F32:G32"/>
    <mergeCell ref="H32:I32"/>
    <mergeCell ref="C15:D15"/>
    <mergeCell ref="S4:T4"/>
    <mergeCell ref="C5:D5"/>
    <mergeCell ref="S5:T5"/>
    <mergeCell ref="C6:D6"/>
    <mergeCell ref="C7:D7"/>
    <mergeCell ref="S7:T7"/>
    <mergeCell ref="C4:D4"/>
    <mergeCell ref="L4:M5"/>
    <mergeCell ref="B12:P12"/>
    <mergeCell ref="S12:T12"/>
    <mergeCell ref="C13:D13"/>
    <mergeCell ref="O13:P13"/>
    <mergeCell ref="C14:D14"/>
    <mergeCell ref="B2:F2"/>
    <mergeCell ref="G2:G3"/>
    <mergeCell ref="H2:H3"/>
    <mergeCell ref="C3:D3"/>
    <mergeCell ref="L3:M3"/>
  </mergeCells>
  <conditionalFormatting sqref="G37">
    <cfRule type="cellIs" dxfId="8" priority="7" stopIfTrue="1" operator="equal">
      <formula>"LVR failed"</formula>
    </cfRule>
    <cfRule type="cellIs" dxfId="7" priority="8" stopIfTrue="1" operator="equal">
      <formula>"LVR passed"</formula>
    </cfRule>
  </conditionalFormatting>
  <conditionalFormatting sqref="I33:I34 F29:H29 C18:H18 B8 L18:M18 Q18 N31 M30 I14:J18 I25:J29 G4:H9">
    <cfRule type="cellIs" dxfId="6" priority="9" stopIfTrue="1" operator="equal">
      <formula>0</formula>
    </cfRule>
  </conditionalFormatting>
  <conditionalFormatting sqref="I41:I43">
    <cfRule type="cellIs" dxfId="5" priority="6" stopIfTrue="1" operator="equal">
      <formula>0</formula>
    </cfRule>
  </conditionalFormatting>
  <conditionalFormatting sqref="I45">
    <cfRule type="cellIs" dxfId="4" priority="4" stopIfTrue="1" operator="equal">
      <formula>"ICT Failed"</formula>
    </cfRule>
    <cfRule type="cellIs" dxfId="3" priority="5" stopIfTrue="1" operator="equal">
      <formula>"ICT Passed"</formula>
    </cfRule>
  </conditionalFormatting>
  <conditionalFormatting sqref="I35">
    <cfRule type="cellIs" dxfId="2" priority="3" stopIfTrue="1" operator="equal">
      <formula>0</formula>
    </cfRule>
  </conditionalFormatting>
  <conditionalFormatting sqref="I38">
    <cfRule type="cellIs" dxfId="1" priority="1" stopIfTrue="1" operator="equal">
      <formula>"DSCR Failed"</formula>
    </cfRule>
    <cfRule type="cellIs" dxfId="0" priority="2" stopIfTrue="1" operator="equal">
      <formula>"DSCR Passed"</formula>
    </cfRule>
  </conditionalFormatting>
  <dataValidations count="1">
    <dataValidation type="whole" allowBlank="1" showInputMessage="1" showErrorMessage="1" sqref="C4:D7">
      <formula1>1</formula1>
      <formula2>25</formula2>
    </dataValidation>
  </dataValidation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1"/>
  <sheetViews>
    <sheetView zoomScale="90" zoomScaleNormal="90" workbookViewId="0">
      <selection activeCell="C6" sqref="C6:M6"/>
    </sheetView>
  </sheetViews>
  <sheetFormatPr defaultColWidth="9.140625" defaultRowHeight="15" x14ac:dyDescent="0.25"/>
  <cols>
    <col min="1" max="1" width="2" style="5" customWidth="1"/>
    <col min="2" max="2" width="9.140625" style="9"/>
    <col min="3" max="3" width="9.140625" style="13"/>
    <col min="4" max="4" width="15" style="13" customWidth="1"/>
    <col min="5" max="12" width="9.140625" style="8"/>
    <col min="13" max="13" width="10.7109375" style="8" customWidth="1"/>
    <col min="14" max="16384" width="9.140625" style="5"/>
  </cols>
  <sheetData>
    <row r="1" spans="2:13" ht="9.75" customHeight="1" x14ac:dyDescent="0.25">
      <c r="B1" s="5"/>
      <c r="C1" s="5"/>
      <c r="D1" s="5"/>
      <c r="E1" s="5"/>
      <c r="F1" s="5"/>
      <c r="G1" s="5"/>
      <c r="H1" s="5"/>
      <c r="I1" s="5"/>
      <c r="J1" s="5"/>
      <c r="K1" s="5"/>
      <c r="L1" s="5"/>
      <c r="M1" s="5"/>
    </row>
    <row r="2" spans="2:13" ht="6.75" customHeight="1" x14ac:dyDescent="0.25">
      <c r="B2" s="5"/>
      <c r="C2" s="5"/>
      <c r="D2" s="5"/>
      <c r="E2" s="5"/>
      <c r="F2" s="5"/>
      <c r="G2" s="5"/>
      <c r="H2" s="5"/>
      <c r="I2" s="5"/>
      <c r="J2" s="5"/>
      <c r="K2" s="5"/>
      <c r="L2" s="5"/>
      <c r="M2" s="5"/>
    </row>
    <row r="3" spans="2:13" x14ac:dyDescent="0.25">
      <c r="B3" s="5"/>
      <c r="C3" s="5"/>
      <c r="D3" s="5"/>
      <c r="E3" s="5"/>
      <c r="F3" s="5"/>
      <c r="G3" s="5"/>
      <c r="H3" s="5"/>
      <c r="I3" s="5"/>
      <c r="J3" s="5"/>
      <c r="K3" s="5"/>
      <c r="L3" s="5"/>
      <c r="M3" s="5"/>
    </row>
    <row r="4" spans="2:13" x14ac:dyDescent="0.25">
      <c r="B4" s="5"/>
      <c r="C4" s="5"/>
      <c r="D4" s="5"/>
      <c r="E4" s="5"/>
      <c r="F4" s="5"/>
      <c r="G4" s="5"/>
      <c r="H4" s="5"/>
      <c r="I4" s="5"/>
      <c r="J4" s="5"/>
      <c r="K4" s="5"/>
      <c r="L4" s="5"/>
      <c r="M4" s="5"/>
    </row>
    <row r="5" spans="2:13" x14ac:dyDescent="0.25">
      <c r="B5" s="5"/>
      <c r="C5" s="5"/>
      <c r="D5" s="5"/>
      <c r="E5" s="5"/>
      <c r="F5" s="5"/>
      <c r="G5" s="5"/>
      <c r="H5" s="5"/>
      <c r="I5" s="5"/>
      <c r="J5" s="5"/>
      <c r="K5" s="5"/>
      <c r="L5" s="5"/>
      <c r="M5" s="5"/>
    </row>
    <row r="6" spans="2:13" ht="24.75" customHeight="1" x14ac:dyDescent="0.3">
      <c r="B6" s="6"/>
      <c r="C6" s="119" t="s">
        <v>23</v>
      </c>
      <c r="D6" s="119"/>
      <c r="E6" s="119"/>
      <c r="F6" s="119"/>
      <c r="G6" s="119"/>
      <c r="H6" s="119"/>
      <c r="I6" s="119"/>
      <c r="J6" s="119"/>
      <c r="K6" s="119"/>
      <c r="L6" s="119"/>
      <c r="M6" s="119"/>
    </row>
    <row r="7" spans="2:13" ht="12" customHeight="1" x14ac:dyDescent="0.3">
      <c r="B7" s="6"/>
      <c r="C7" s="6"/>
      <c r="D7" s="5"/>
      <c r="E7" s="5"/>
      <c r="F7" s="5"/>
      <c r="G7" s="5"/>
      <c r="H7" s="5"/>
      <c r="I7" s="5"/>
      <c r="J7" s="5"/>
      <c r="K7" s="5"/>
      <c r="L7" s="5"/>
      <c r="M7" s="5"/>
    </row>
    <row r="8" spans="2:13" ht="15.75" x14ac:dyDescent="0.25">
      <c r="B8" s="138" t="s">
        <v>34</v>
      </c>
      <c r="C8" s="138"/>
      <c r="D8" s="138"/>
      <c r="E8" s="5"/>
      <c r="F8" s="5"/>
      <c r="G8" s="5"/>
      <c r="H8" s="5"/>
      <c r="I8" s="5"/>
      <c r="J8" s="5"/>
      <c r="K8" s="5"/>
      <c r="L8" s="5"/>
      <c r="M8" s="5"/>
    </row>
    <row r="9" spans="2:13" ht="6.75" customHeight="1" x14ac:dyDescent="0.3">
      <c r="B9" s="6"/>
      <c r="C9" s="6"/>
      <c r="D9" s="5"/>
      <c r="E9" s="5"/>
      <c r="F9" s="5"/>
      <c r="G9" s="5"/>
      <c r="H9" s="5"/>
      <c r="I9" s="5"/>
      <c r="J9" s="5"/>
      <c r="K9" s="5"/>
      <c r="L9" s="5"/>
      <c r="M9" s="5"/>
    </row>
    <row r="10" spans="2:13" ht="17.25" customHeight="1" x14ac:dyDescent="0.25">
      <c r="B10" s="123" t="s">
        <v>154</v>
      </c>
      <c r="C10" s="123"/>
      <c r="D10" s="123"/>
      <c r="E10" s="123"/>
      <c r="F10" s="123"/>
      <c r="G10" s="123"/>
      <c r="H10" s="123"/>
      <c r="I10" s="123"/>
      <c r="J10" s="123"/>
      <c r="K10" s="123"/>
      <c r="L10" s="123"/>
      <c r="M10" s="123"/>
    </row>
    <row r="11" spans="2:13" x14ac:dyDescent="0.25">
      <c r="B11" s="7"/>
      <c r="C11" s="7"/>
      <c r="D11" s="7"/>
      <c r="E11" s="5"/>
      <c r="F11" s="5"/>
      <c r="G11" s="5"/>
      <c r="H11" s="5"/>
      <c r="I11" s="5"/>
      <c r="J11" s="5"/>
      <c r="K11" s="5"/>
      <c r="L11" s="5"/>
      <c r="M11" s="5"/>
    </row>
    <row r="12" spans="2:13" ht="15.75" x14ac:dyDescent="0.25">
      <c r="B12" s="138" t="s">
        <v>5</v>
      </c>
      <c r="C12" s="138"/>
      <c r="D12" s="138"/>
      <c r="E12" s="5"/>
      <c r="F12" s="5"/>
      <c r="G12" s="5"/>
      <c r="H12" s="5"/>
      <c r="I12" s="5"/>
      <c r="J12" s="5"/>
      <c r="K12" s="5"/>
      <c r="L12" s="5"/>
      <c r="M12" s="5"/>
    </row>
    <row r="13" spans="2:13" ht="6.75" customHeight="1" x14ac:dyDescent="0.25">
      <c r="B13" s="7"/>
      <c r="C13" s="7"/>
      <c r="D13" s="7"/>
      <c r="E13" s="5"/>
      <c r="F13" s="5"/>
      <c r="G13" s="5"/>
      <c r="H13" s="5"/>
      <c r="I13" s="5"/>
      <c r="J13" s="5"/>
      <c r="K13" s="5"/>
      <c r="L13" s="5"/>
      <c r="M13" s="5"/>
    </row>
    <row r="14" spans="2:13" x14ac:dyDescent="0.25">
      <c r="B14" s="122" t="s">
        <v>1</v>
      </c>
      <c r="C14" s="122"/>
      <c r="D14" s="122"/>
      <c r="E14" s="8" t="s">
        <v>35</v>
      </c>
    </row>
    <row r="15" spans="2:13" ht="39.75" customHeight="1" x14ac:dyDescent="0.25">
      <c r="B15" s="122" t="s">
        <v>2</v>
      </c>
      <c r="C15" s="122"/>
      <c r="D15" s="122"/>
      <c r="E15" s="127" t="s">
        <v>152</v>
      </c>
      <c r="F15" s="127"/>
      <c r="G15" s="127"/>
      <c r="H15" s="127"/>
      <c r="I15" s="127"/>
      <c r="J15" s="127"/>
      <c r="K15" s="127"/>
      <c r="L15" s="127"/>
      <c r="M15" s="127"/>
    </row>
    <row r="16" spans="2:13" ht="27" customHeight="1" x14ac:dyDescent="0.25">
      <c r="B16" s="9" t="s">
        <v>3</v>
      </c>
      <c r="C16" s="10"/>
      <c r="D16" s="11"/>
      <c r="E16" s="128" t="s">
        <v>153</v>
      </c>
      <c r="F16" s="128"/>
      <c r="G16" s="128"/>
      <c r="H16" s="128"/>
      <c r="I16" s="128"/>
      <c r="J16" s="128"/>
      <c r="K16" s="128"/>
      <c r="L16" s="128"/>
      <c r="M16" s="128"/>
    </row>
    <row r="17" spans="2:13" ht="18" customHeight="1" x14ac:dyDescent="0.25">
      <c r="B17" s="9" t="s">
        <v>4</v>
      </c>
      <c r="C17" s="10"/>
      <c r="D17" s="11"/>
      <c r="E17" s="118" t="s">
        <v>44</v>
      </c>
      <c r="F17" s="118"/>
      <c r="G17" s="118"/>
      <c r="H17" s="118"/>
      <c r="I17" s="118"/>
      <c r="J17" s="118"/>
      <c r="K17" s="118"/>
      <c r="L17" s="118"/>
      <c r="M17" s="118"/>
    </row>
    <row r="18" spans="2:13" ht="47.25" customHeight="1" x14ac:dyDescent="0.25">
      <c r="B18" s="9" t="s">
        <v>46</v>
      </c>
      <c r="C18" s="10"/>
      <c r="D18" s="11"/>
      <c r="E18" s="118" t="s">
        <v>47</v>
      </c>
      <c r="F18" s="118"/>
      <c r="G18" s="118"/>
      <c r="H18" s="118"/>
      <c r="I18" s="118"/>
      <c r="J18" s="118"/>
      <c r="K18" s="118"/>
      <c r="L18" s="118"/>
      <c r="M18" s="118"/>
    </row>
    <row r="19" spans="2:13" ht="28.5" hidden="1" customHeight="1" x14ac:dyDescent="0.25">
      <c r="B19" s="125" t="s">
        <v>40</v>
      </c>
      <c r="C19" s="129"/>
      <c r="D19" s="129"/>
      <c r="E19" s="118" t="s">
        <v>41</v>
      </c>
      <c r="F19" s="118"/>
      <c r="G19" s="118"/>
      <c r="H19" s="118"/>
      <c r="I19" s="118"/>
      <c r="J19" s="118"/>
      <c r="K19" s="118"/>
      <c r="L19" s="118"/>
      <c r="M19" s="118"/>
    </row>
    <row r="20" spans="2:13" x14ac:dyDescent="0.25">
      <c r="B20" s="5"/>
      <c r="C20" s="5"/>
      <c r="D20" s="5"/>
      <c r="E20" s="12"/>
      <c r="F20" s="12"/>
      <c r="G20" s="12"/>
      <c r="H20" s="12"/>
      <c r="I20" s="12"/>
      <c r="J20" s="12"/>
      <c r="K20" s="12"/>
      <c r="L20" s="12"/>
      <c r="M20" s="12"/>
    </row>
    <row r="21" spans="2:13" ht="15.75" x14ac:dyDescent="0.25">
      <c r="B21" s="138" t="s">
        <v>6</v>
      </c>
      <c r="C21" s="138"/>
      <c r="D21" s="138"/>
      <c r="E21" s="12"/>
      <c r="F21" s="12"/>
      <c r="G21" s="12"/>
      <c r="H21" s="12"/>
      <c r="I21" s="12"/>
      <c r="J21" s="12"/>
      <c r="K21" s="12"/>
      <c r="L21" s="12"/>
      <c r="M21" s="12"/>
    </row>
    <row r="22" spans="2:13" ht="5.25" customHeight="1" x14ac:dyDescent="0.25">
      <c r="B22" s="5"/>
      <c r="C22" s="5"/>
      <c r="D22" s="5"/>
      <c r="E22" s="12"/>
      <c r="F22" s="12"/>
      <c r="G22" s="12"/>
      <c r="H22" s="12"/>
      <c r="I22" s="12"/>
      <c r="J22" s="12"/>
      <c r="K22" s="12"/>
      <c r="L22" s="12"/>
      <c r="M22" s="12"/>
    </row>
    <row r="23" spans="2:13" ht="26.25" customHeight="1" x14ac:dyDescent="0.25">
      <c r="B23" s="9" t="s">
        <v>10</v>
      </c>
      <c r="E23" s="118" t="s">
        <v>24</v>
      </c>
      <c r="F23" s="118"/>
      <c r="G23" s="118"/>
      <c r="H23" s="118"/>
      <c r="I23" s="118"/>
      <c r="J23" s="118"/>
      <c r="K23" s="118"/>
      <c r="L23" s="118"/>
      <c r="M23" s="118"/>
    </row>
    <row r="24" spans="2:13" ht="17.25" customHeight="1" x14ac:dyDescent="0.25">
      <c r="B24" s="9" t="s">
        <v>7</v>
      </c>
      <c r="E24" s="8" t="s">
        <v>25</v>
      </c>
    </row>
    <row r="25" spans="2:13" ht="30" customHeight="1" x14ac:dyDescent="0.25">
      <c r="B25" s="9" t="s">
        <v>26</v>
      </c>
      <c r="E25" s="124" t="s">
        <v>157</v>
      </c>
      <c r="F25" s="124"/>
      <c r="G25" s="124"/>
      <c r="H25" s="124"/>
      <c r="I25" s="124"/>
      <c r="J25" s="124"/>
      <c r="K25" s="124"/>
      <c r="L25" s="124"/>
      <c r="M25" s="124"/>
    </row>
    <row r="27" spans="2:13" ht="15.75" x14ac:dyDescent="0.25">
      <c r="B27" s="138" t="s">
        <v>8</v>
      </c>
      <c r="C27" s="138"/>
      <c r="D27" s="138"/>
    </row>
    <row r="28" spans="2:13" ht="6" customHeight="1" x14ac:dyDescent="0.25"/>
    <row r="29" spans="2:13" ht="29.25" customHeight="1" x14ac:dyDescent="0.25">
      <c r="B29" s="125" t="s">
        <v>0</v>
      </c>
      <c r="C29" s="126"/>
      <c r="D29" s="126"/>
      <c r="E29" s="124" t="s">
        <v>27</v>
      </c>
      <c r="F29" s="124"/>
      <c r="G29" s="124"/>
      <c r="H29" s="124"/>
      <c r="I29" s="124"/>
      <c r="J29" s="124"/>
      <c r="K29" s="124"/>
      <c r="L29" s="124"/>
      <c r="M29" s="124"/>
    </row>
    <row r="30" spans="2:13" ht="36" customHeight="1" x14ac:dyDescent="0.25">
      <c r="B30" s="121" t="s">
        <v>38</v>
      </c>
      <c r="C30" s="121"/>
      <c r="D30" s="121"/>
      <c r="E30" s="118" t="s">
        <v>54</v>
      </c>
      <c r="F30" s="118"/>
      <c r="G30" s="118"/>
      <c r="H30" s="118"/>
      <c r="I30" s="118"/>
      <c r="J30" s="118"/>
      <c r="K30" s="118"/>
      <c r="L30" s="118"/>
      <c r="M30" s="118"/>
    </row>
    <row r="31" spans="2:13" x14ac:dyDescent="0.25">
      <c r="B31" s="125" t="s">
        <v>21</v>
      </c>
      <c r="C31" s="126"/>
      <c r="D31" s="126"/>
      <c r="E31" s="8" t="s">
        <v>28</v>
      </c>
    </row>
    <row r="32" spans="2:13" x14ac:dyDescent="0.25">
      <c r="B32" s="125" t="s">
        <v>22</v>
      </c>
      <c r="C32" s="126"/>
      <c r="D32" s="126"/>
      <c r="E32" s="8" t="s">
        <v>36</v>
      </c>
    </row>
    <row r="33" spans="2:13" ht="25.5" customHeight="1" x14ac:dyDescent="0.25">
      <c r="B33" s="125" t="s">
        <v>20</v>
      </c>
      <c r="C33" s="126"/>
      <c r="D33" s="126"/>
      <c r="E33" s="124" t="s">
        <v>43</v>
      </c>
      <c r="F33" s="124"/>
      <c r="G33" s="124"/>
      <c r="H33" s="124"/>
      <c r="I33" s="124"/>
      <c r="J33" s="124"/>
      <c r="K33" s="124"/>
      <c r="L33" s="124"/>
      <c r="M33" s="124"/>
    </row>
    <row r="34" spans="2:13" ht="27" customHeight="1" x14ac:dyDescent="0.25">
      <c r="B34" s="9" t="s">
        <v>26</v>
      </c>
      <c r="E34" s="124" t="s">
        <v>158</v>
      </c>
      <c r="F34" s="124"/>
      <c r="G34" s="124"/>
      <c r="H34" s="124"/>
      <c r="I34" s="124"/>
      <c r="J34" s="124"/>
      <c r="K34" s="124"/>
      <c r="L34" s="124"/>
      <c r="M34" s="124"/>
    </row>
    <row r="35" spans="2:13" ht="27" customHeight="1" x14ac:dyDescent="0.25">
      <c r="B35" s="9" t="s">
        <v>42</v>
      </c>
      <c r="E35" s="118" t="s">
        <v>159</v>
      </c>
      <c r="F35" s="118"/>
      <c r="G35" s="118"/>
      <c r="H35" s="118"/>
      <c r="I35" s="118"/>
      <c r="J35" s="118"/>
      <c r="K35" s="118"/>
      <c r="L35" s="118"/>
      <c r="M35" s="118"/>
    </row>
    <row r="37" spans="2:13" ht="15.75" x14ac:dyDescent="0.25">
      <c r="B37" s="138" t="s">
        <v>29</v>
      </c>
      <c r="C37" s="138"/>
      <c r="D37" s="138"/>
    </row>
    <row r="38" spans="2:13" ht="6" customHeight="1" x14ac:dyDescent="0.25"/>
    <row r="39" spans="2:13" x14ac:dyDescent="0.25">
      <c r="B39" s="9" t="s">
        <v>30</v>
      </c>
      <c r="E39" s="8" t="s">
        <v>37</v>
      </c>
    </row>
    <row r="40" spans="2:13" x14ac:dyDescent="0.25">
      <c r="B40" s="9" t="s">
        <v>31</v>
      </c>
      <c r="E40" s="120" t="s">
        <v>32</v>
      </c>
      <c r="F40" s="120"/>
      <c r="G40" s="120"/>
      <c r="H40" s="120"/>
      <c r="I40" s="120"/>
      <c r="J40" s="120"/>
      <c r="K40" s="120"/>
      <c r="L40" s="120"/>
      <c r="M40" s="120"/>
    </row>
    <row r="41" spans="2:13" ht="32.25" customHeight="1" x14ac:dyDescent="0.25">
      <c r="B41" s="121" t="s">
        <v>146</v>
      </c>
      <c r="C41" s="121"/>
      <c r="D41" s="121"/>
      <c r="E41" s="120" t="s">
        <v>33</v>
      </c>
      <c r="F41" s="120"/>
      <c r="G41" s="120"/>
      <c r="H41" s="120"/>
      <c r="I41" s="120"/>
      <c r="J41" s="120"/>
      <c r="K41" s="120"/>
      <c r="L41" s="120"/>
      <c r="M41" s="120"/>
    </row>
  </sheetData>
  <sheetProtection algorithmName="SHA-512" hashValue="xj0JMEHMoG37c2/NNb0b/6vFaNc2JaxegzY86VCOoUQuE5AnYwiI+B9FWsgp+OiWrnisPz3EOp/JpqVEmtKArg==" saltValue="qEAoENFldG8aD4QEWF0Tkw==" spinCount="100000" sheet="1" objects="1" scenarios="1" selectLockedCells="1" selectUnlockedCells="1"/>
  <mergeCells count="30">
    <mergeCell ref="E15:M15"/>
    <mergeCell ref="E16:M16"/>
    <mergeCell ref="E17:M17"/>
    <mergeCell ref="E29:M29"/>
    <mergeCell ref="B19:D19"/>
    <mergeCell ref="E19:M19"/>
    <mergeCell ref="E23:M23"/>
    <mergeCell ref="E18:M18"/>
    <mergeCell ref="B33:D33"/>
    <mergeCell ref="B29:D29"/>
    <mergeCell ref="E25:M25"/>
    <mergeCell ref="B32:D32"/>
    <mergeCell ref="B30:D30"/>
    <mergeCell ref="E30:M30"/>
    <mergeCell ref="E35:M35"/>
    <mergeCell ref="C6:M6"/>
    <mergeCell ref="E40:M40"/>
    <mergeCell ref="B41:D41"/>
    <mergeCell ref="E41:M41"/>
    <mergeCell ref="B8:D8"/>
    <mergeCell ref="B14:D14"/>
    <mergeCell ref="B15:D15"/>
    <mergeCell ref="B10:M10"/>
    <mergeCell ref="E34:M34"/>
    <mergeCell ref="B37:D37"/>
    <mergeCell ref="B12:D12"/>
    <mergeCell ref="B21:D21"/>
    <mergeCell ref="B27:D27"/>
    <mergeCell ref="B31:D31"/>
    <mergeCell ref="E33:M33"/>
  </mergeCells>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Home</vt:lpstr>
      <vt:lpstr>Lease Doc Calculator</vt:lpstr>
      <vt:lpstr>SMSF Calculator</vt:lpstr>
      <vt:lpstr>Commercial Calculator</vt:lpstr>
      <vt:lpstr>Help</vt:lpstr>
      <vt:lpstr>company_tax_rate</vt:lpstr>
      <vt:lpstr>DSCR_calculated</vt:lpstr>
      <vt:lpstr>DSCR_minimum</vt:lpstr>
      <vt:lpstr>expense_percent_credit_card</vt:lpstr>
      <vt:lpstr>expense_percent_property</vt:lpstr>
      <vt:lpstr>Interest_Only_Term</vt:lpstr>
      <vt:lpstr>lookup_1</vt:lpstr>
      <vt:lpstr>lookup_2</vt:lpstr>
      <vt:lpstr>LVR_consolidated</vt:lpstr>
      <vt:lpstr>LVR_maximum</vt:lpstr>
      <vt:lpstr>'SMSF Calculator'!Print_Area</vt:lpstr>
    </vt:vector>
  </TitlesOfParts>
  <Company>Genworth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310000090</dc:creator>
  <cp:lastModifiedBy>Jake Miller</cp:lastModifiedBy>
  <cp:lastPrinted>2020-08-13T01:27:09Z</cp:lastPrinted>
  <dcterms:created xsi:type="dcterms:W3CDTF">2011-05-31T00:58:06Z</dcterms:created>
  <dcterms:modified xsi:type="dcterms:W3CDTF">2020-09-29T00:57:52Z</dcterms:modified>
</cp:coreProperties>
</file>